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taisuke.kondoh\Desktop\"/>
    </mc:Choice>
  </mc:AlternateContent>
  <xr:revisionPtr revIDLastSave="0" documentId="8_{E5E7ED0C-8E98-4744-A70F-B7019391F2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_README" sheetId="1" r:id="rId1"/>
    <sheet name="1_サマリー" sheetId="2" r:id="rId2"/>
    <sheet name="2_売上" sheetId="3" r:id="rId3"/>
    <sheet name="3_営業KPI" sheetId="4" r:id="rId4"/>
    <sheet name="4_顧客" sheetId="5" r:id="rId5"/>
    <sheet name="5_財務" sheetId="6" r:id="rId6"/>
    <sheet name="6_組織AI" sheetId="7" r:id="rId7"/>
    <sheet name="7_改善計画" sheetId="8" r:id="rId8"/>
    <sheet name="8_3か年計画" sheetId="9" r:id="rId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9" l="1"/>
  <c r="B30" i="9"/>
  <c r="B23" i="9"/>
  <c r="C22" i="9" s="1"/>
  <c r="H7" i="9"/>
  <c r="F7" i="9"/>
  <c r="G7" i="9" s="1"/>
  <c r="B39" i="2" s="1"/>
  <c r="D7" i="9"/>
  <c r="D6" i="9"/>
  <c r="F6" i="9" s="1"/>
  <c r="G6" i="9" s="1"/>
  <c r="H11" i="8"/>
  <c r="I11" i="8" s="1"/>
  <c r="H10" i="8"/>
  <c r="I10" i="8" s="1"/>
  <c r="H9" i="8"/>
  <c r="B33" i="2" s="1"/>
  <c r="I8" i="8"/>
  <c r="H8" i="8"/>
  <c r="H7" i="8"/>
  <c r="I7" i="8" s="1"/>
  <c r="H6" i="8"/>
  <c r="I6" i="8" s="1"/>
  <c r="H5" i="8"/>
  <c r="I5" i="8" s="1"/>
  <c r="B38" i="7"/>
  <c r="C38" i="7" s="1"/>
  <c r="D38" i="7" s="1"/>
  <c r="B37" i="7"/>
  <c r="C37" i="7" s="1"/>
  <c r="D37" i="7" s="1"/>
  <c r="B32" i="7"/>
  <c r="B30" i="7"/>
  <c r="B33" i="7" s="1"/>
  <c r="B27" i="7"/>
  <c r="B26" i="7"/>
  <c r="B39" i="7" s="1"/>
  <c r="C39" i="7" s="1"/>
  <c r="D39" i="7" s="1"/>
  <c r="B19" i="7"/>
  <c r="B20" i="7" s="1"/>
  <c r="B17" i="7"/>
  <c r="C16" i="7"/>
  <c r="C15" i="7"/>
  <c r="C14" i="7"/>
  <c r="B42" i="6"/>
  <c r="B41" i="6"/>
  <c r="B40" i="6"/>
  <c r="B39" i="6"/>
  <c r="B35" i="6"/>
  <c r="C30" i="6" s="1"/>
  <c r="C32" i="6"/>
  <c r="C31" i="6"/>
  <c r="B24" i="6"/>
  <c r="B26" i="6" s="1"/>
  <c r="C17" i="6"/>
  <c r="B17" i="6"/>
  <c r="D17" i="6" s="1"/>
  <c r="D16" i="6"/>
  <c r="C16" i="6"/>
  <c r="B16" i="6"/>
  <c r="C15" i="6"/>
  <c r="B15" i="6"/>
  <c r="D15" i="6" s="1"/>
  <c r="B10" i="6"/>
  <c r="B8" i="6"/>
  <c r="B9" i="6" s="1"/>
  <c r="B6" i="6"/>
  <c r="B35" i="5"/>
  <c r="B37" i="5" s="1"/>
  <c r="B31" i="5"/>
  <c r="B30" i="5"/>
  <c r="B27" i="5"/>
  <c r="B25" i="5"/>
  <c r="B26" i="5" s="1"/>
  <c r="B23" i="5"/>
  <c r="B14" i="2" s="1"/>
  <c r="D14" i="2" s="1"/>
  <c r="B17" i="5"/>
  <c r="B32" i="4"/>
  <c r="C31" i="4" s="1"/>
  <c r="D31" i="4"/>
  <c r="D30" i="4"/>
  <c r="D29" i="4"/>
  <c r="D28" i="4"/>
  <c r="D27" i="4"/>
  <c r="D32" i="4" s="1"/>
  <c r="B20" i="4"/>
  <c r="B17" i="4"/>
  <c r="B18" i="4" s="1"/>
  <c r="B21" i="4" s="1"/>
  <c r="D12" i="4"/>
  <c r="B12" i="4"/>
  <c r="C10" i="4"/>
  <c r="B10" i="4"/>
  <c r="C9" i="4"/>
  <c r="B9" i="4"/>
  <c r="B13" i="2" s="1"/>
  <c r="D13" i="2" s="1"/>
  <c r="D8" i="4"/>
  <c r="D7" i="4"/>
  <c r="D6" i="4"/>
  <c r="D4" i="4"/>
  <c r="B27" i="3"/>
  <c r="B26" i="3"/>
  <c r="B22" i="3"/>
  <c r="B8" i="5" s="1"/>
  <c r="B21" i="3"/>
  <c r="B19" i="3"/>
  <c r="D10" i="3"/>
  <c r="D9" i="3"/>
  <c r="D8" i="3"/>
  <c r="D7" i="3"/>
  <c r="D6" i="3"/>
  <c r="D5" i="3"/>
  <c r="C4" i="3"/>
  <c r="E4" i="3" s="1"/>
  <c r="B38" i="2"/>
  <c r="B32" i="2"/>
  <c r="B31" i="2"/>
  <c r="B30" i="2"/>
  <c r="B29" i="2"/>
  <c r="B25" i="2"/>
  <c r="B24" i="2"/>
  <c r="B21" i="2"/>
  <c r="C17" i="2"/>
  <c r="C16" i="2"/>
  <c r="C15" i="2"/>
  <c r="B15" i="2"/>
  <c r="D15" i="2" s="1"/>
  <c r="C14" i="2"/>
  <c r="C13" i="2"/>
  <c r="C12" i="2"/>
  <c r="B12" i="2"/>
  <c r="D12" i="2" s="1"/>
  <c r="C11" i="2"/>
  <c r="C14" i="5" l="1"/>
  <c r="C13" i="5"/>
  <c r="C12" i="5"/>
  <c r="C16" i="5"/>
  <c r="C15" i="5"/>
  <c r="B33" i="5"/>
  <c r="B22" i="4"/>
  <c r="B28" i="3"/>
  <c r="C17" i="5"/>
  <c r="B16" i="2"/>
  <c r="D16" i="2" s="1"/>
  <c r="B29" i="9"/>
  <c r="B32" i="5"/>
  <c r="C33" i="6"/>
  <c r="B7" i="7"/>
  <c r="I9" i="8"/>
  <c r="B27" i="9"/>
  <c r="C5" i="3"/>
  <c r="D9" i="4"/>
  <c r="C29" i="4"/>
  <c r="C34" i="6"/>
  <c r="C35" i="6" s="1"/>
  <c r="B8" i="7"/>
  <c r="C18" i="9"/>
  <c r="C23" i="9" s="1"/>
  <c r="B28" i="9"/>
  <c r="B29" i="7"/>
  <c r="C19" i="9"/>
  <c r="C20" i="9"/>
  <c r="C28" i="4"/>
  <c r="B19" i="4"/>
  <c r="C30" i="4"/>
  <c r="B25" i="6"/>
  <c r="B36" i="2"/>
  <c r="C21" i="9"/>
  <c r="C27" i="4"/>
  <c r="B36" i="5" l="1"/>
  <c r="B23" i="2" s="1"/>
  <c r="B22" i="2"/>
  <c r="C32" i="4"/>
  <c r="E5" i="3"/>
  <c r="C6" i="3"/>
  <c r="B31" i="9"/>
  <c r="B17" i="2"/>
  <c r="D17" i="2" s="1"/>
  <c r="E6" i="3" l="1"/>
  <c r="C7" i="3"/>
  <c r="C8" i="3" l="1"/>
  <c r="E7" i="3"/>
  <c r="C9" i="3" l="1"/>
  <c r="E8" i="3"/>
  <c r="E9" i="3" l="1"/>
  <c r="C10" i="3"/>
  <c r="B15" i="3" l="1"/>
  <c r="E10" i="3"/>
  <c r="B17" i="3" l="1"/>
  <c r="B18" i="3" s="1"/>
  <c r="C28" i="3"/>
  <c r="C26" i="3"/>
  <c r="B16" i="3"/>
  <c r="B11" i="2" s="1"/>
  <c r="D11" i="2" s="1"/>
  <c r="C27" i="3"/>
  <c r="B20" i="2"/>
  <c r="B5" i="9" l="1"/>
  <c r="E27" i="3"/>
  <c r="D27" i="3"/>
  <c r="D26" i="3"/>
  <c r="E26" i="3"/>
  <c r="D28" i="3"/>
  <c r="E28" i="3"/>
  <c r="B23" i="4"/>
  <c r="B20" i="3"/>
  <c r="B29" i="3"/>
  <c r="C29" i="3" s="1"/>
  <c r="E29" i="3" l="1"/>
  <c r="D29" i="3"/>
  <c r="H6" i="9"/>
  <c r="D5" i="9"/>
  <c r="F5" i="9" s="1"/>
  <c r="G5" i="9" s="1"/>
</calcChain>
</file>

<file path=xl/sharedStrings.xml><?xml version="1.0" encoding="utf-8"?>
<sst xmlns="http://schemas.openxmlformats.org/spreadsheetml/2006/main" count="458" uniqueCount="390">
  <si>
    <t>対象期間: 2026年1月〜7月実績 / 2026年8月〜12月見通し</t>
  </si>
  <si>
    <t>作成目的: 資金調達（エクイティ）に際して投資家に提示する経営実態・改善計画・事業計画の裏付け資料</t>
  </si>
  <si>
    <t>シート構成</t>
  </si>
  <si>
    <t>1_サマリー</t>
  </si>
  <si>
    <t>投資家が最初に見る要約。ハイライト・KPI・重要課題TOP5・エクイティストーリー</t>
  </si>
  <si>
    <t>2_売上</t>
  </si>
  <si>
    <t>月次売上実績、年間目標進捗、着地シナリオ4案</t>
  </si>
  <si>
    <t>3_営業KPI</t>
  </si>
  <si>
    <t>営業ファネル、受注率改善インパクト、失注理由分析</t>
  </si>
  <si>
    <t>4_顧客</t>
  </si>
  <si>
    <t>顧客構成、集中リスク、継続率、ユニットエコノミクス（LTV/CAC）</t>
  </si>
  <si>
    <t>5_財務</t>
  </si>
  <si>
    <t>損益、損益分岐点、営業利益率20%達成の必要条件、固定費内訳、キャッシュ</t>
  </si>
  <si>
    <t>6_組織AI</t>
  </si>
  <si>
    <t>経営者依存度、採用ファネル、AI社員の生産性効果と未活用時間</t>
  </si>
  <si>
    <t>7_改善計画</t>
  </si>
  <si>
    <t>課題の100点満点スコアリングと30/60/90日アクションプラン</t>
  </si>
  <si>
    <t>8_3か年計画</t>
  </si>
  <si>
    <t>FY2026〜FY2028の業績計画シナリオ、資金使途、調達後KPI</t>
  </si>
  <si>
    <t>凡例</t>
  </si>
  <si>
    <t>青文字</t>
  </si>
  <si>
    <t>入力値（実績データ・前提値）。ここを変更すると全計算が再計算されます</t>
  </si>
  <si>
    <t>黒文字</t>
  </si>
  <si>
    <t>計算式（数式で自動算出）</t>
  </si>
  <si>
    <t>黄色セル</t>
  </si>
  <si>
    <t>将来計画の仮定値。投資家説明時に根拠の提示が必要な項目</t>
  </si>
  <si>
    <t>データの出典と前提</t>
  </si>
  <si>
    <t>実績データ</t>
  </si>
  <si>
    <t>出典: 当社経営会議資料（2026年7月時点）。売上・営業・顧客・財務・組織・AI活用の各実績値</t>
  </si>
  <si>
    <t>年換算売上</t>
  </si>
  <si>
    <t>2026年7月実績12,000,000円×12か月のランレート。実績の年計ではない</t>
  </si>
  <si>
    <t>上位5社比率</t>
  </si>
  <si>
    <t>上位5社の年間売上合計42,000,000円を年換算売上で除して算出（会社提示値は28%＝年間目標比）</t>
  </si>
  <si>
    <t>CAC</t>
  </si>
  <si>
    <t>年間広告・マーケティング費8,000,000円÷新規顧客18社。営業人件費は配賦データが無いため未算入（過小評価の可能性あり／情報不足）</t>
  </si>
  <si>
    <t>AI時間単価</t>
  </si>
  <si>
    <t>年間人件費48,000,000円÷12か月÷月間稼働2,050時間による人件費換算。売上単価ではない（情報不足）</t>
  </si>
  <si>
    <t>FY2027以降の計画</t>
  </si>
  <si>
    <t>調達実行と採用計画の達成を前提とした当社仮説。確定した受注に基づく数値ではない</t>
  </si>
  <si>
    <t>留意事項</t>
  </si>
  <si>
    <t>本資料の将来見通しは前提条件に基づく試算であり、達成を保証するものではありません。前提が変われば結果は変動します。</t>
  </si>
  <si>
    <t>データが存在しない項目は「情報不足」と明記し、推計値での穴埋めは行っていません。</t>
  </si>
  <si>
    <t>株式会社ABCコンサル 経営サマリー（2026年7月末時点）</t>
  </si>
  <si>
    <t>DX・AIエージェント導入支援 ｜ 設立2024年4月 ｜ 従業員12名 ｜ 東京都</t>
  </si>
  <si>
    <t>エクイティストーリー（投資家への3つの訴求点）</t>
  </si>
  <si>
    <t>① 市場需要は既に検証済み</t>
  </si>
  <si>
    <t>設立2年で顧客32社、月商は1月→7月で46%成長。新規リードは月120社と需要側の制約はない</t>
  </si>
  <si>
    <t>② 利益の伸びしろが定量化されている</t>
  </si>
  <si>
    <t>受注率21.4%・粗利率62%・継続率85%と、主要KPIがすべて自社目標を下回る→改善余地がそのまま利益になる</t>
  </si>
  <si>
    <t>③ AIによる非連続な生産性</t>
  </si>
  <si>
    <t>AI社員5体で月350時間を創出済み。これを売上活動に接続すれば、増員を押さえたまま対応容量を拡大できる</t>
  </si>
  <si>
    <t>主要KPI（各シートから自動参照）</t>
  </si>
  <si>
    <t>指標</t>
  </si>
  <si>
    <t>現状</t>
  </si>
  <si>
    <t>目標</t>
  </si>
  <si>
    <t>ギャップ</t>
  </si>
  <si>
    <t>参照シート</t>
  </si>
  <si>
    <t>年間売上進捗率（7月末）</t>
  </si>
  <si>
    <t>年換算売上（7月×12）</t>
  </si>
  <si>
    <t>受注率</t>
  </si>
  <si>
    <t>顧客継続率</t>
  </si>
  <si>
    <t>粗利率</t>
  </si>
  <si>
    <t>営業利益率</t>
  </si>
  <si>
    <t>AI削減時間の売上接続率</t>
  </si>
  <si>
    <t>金額ベースの主要指標</t>
  </si>
  <si>
    <t>7月末累計売上(円)</t>
  </si>
  <si>
    <t>パイプライン(円)</t>
  </si>
  <si>
    <t>LTV(粗利ベース・円)</t>
  </si>
  <si>
    <t>LTV / CAC</t>
  </si>
  <si>
    <t>現預金(円)</t>
  </si>
  <si>
    <t>月次営業利益(円)</t>
  </si>
  <si>
    <t>重要課題TOP5（スコア順・詳細は7_改善計画）</t>
  </si>
  <si>
    <t>課題</t>
  </si>
  <si>
    <t>スコア</t>
  </si>
  <si>
    <t>投資家から見た意味</t>
  </si>
  <si>
    <t>① 受注率が低い（21.4%）</t>
  </si>
  <si>
    <t>リードはあるのに取りこぼしている。最も安い売上源</t>
  </si>
  <si>
    <t>② 営業利益率が低い（7.8%）</t>
  </si>
  <si>
    <t>固定費回収後の利益レバレッジが大きいことの裏返し</t>
  </si>
  <si>
    <t>③ 社長への業務集中</t>
  </si>
  <si>
    <t>デューデリジェンスの最大懸念。権限移譲の進捗が評価の鍵</t>
  </si>
  <si>
    <t>④ 継続率が低い（85%）</t>
  </si>
  <si>
    <t>LTVの前提を左右する。CS体制の投資で改善可能</t>
  </si>
  <si>
    <t>⑤ AI削減時間の未活用（270h/月）</t>
  </si>
  <si>
    <t>自社でAIを使いこなせていないと見られるリスクと、伸びしろの両面</t>
  </si>
  <si>
    <t>資金調達の要点</t>
  </si>
  <si>
    <t>必要調達額（使途積上げ・円）</t>
  </si>
  <si>
    <t>主な使途</t>
  </si>
  <si>
    <t>採用8名（48%）、マーケティング（18%）、AIプロダクト化（16%）、CS体制（10%）、運転資金（8%）</t>
  </si>
  <si>
    <t>FY2028 計画売上(円)</t>
  </si>
  <si>
    <t>FY2028 計画営業利益率</t>
  </si>
  <si>
    <t>※ 計画値の前提は8_3か年計画とREADMEに記載。市場規模・競合シェアの外部データは未入手（情報不足）。</t>
  </si>
  <si>
    <t>売上実績と2026年着地シナリオ</t>
  </si>
  <si>
    <t>月</t>
  </si>
  <si>
    <t>売上(円)</t>
  </si>
  <si>
    <t>累計(円)</t>
  </si>
  <si>
    <t>前月比</t>
  </si>
  <si>
    <t>年間目標進捗</t>
  </si>
  <si>
    <t>2026年1月</t>
  </si>
  <si>
    <t>2026年2月</t>
  </si>
  <si>
    <t>2026年3月</t>
  </si>
  <si>
    <t>2026年4月</t>
  </si>
  <si>
    <t>2026年5月</t>
  </si>
  <si>
    <t>2026年6月</t>
  </si>
  <si>
    <t>2026年7月</t>
  </si>
  <si>
    <t>前提と進捗</t>
  </si>
  <si>
    <t>年間売上目標(円)</t>
  </si>
  <si>
    <t>残存月数(8-12月)</t>
  </si>
  <si>
    <t>年間目標達成率</t>
  </si>
  <si>
    <t>残り必要売上(円)</t>
  </si>
  <si>
    <t>必要月平均売上(円)</t>
  </si>
  <si>
    <t>直近3か月平均月商(円)</t>
  </si>
  <si>
    <t>必要月商 / 直近実績 倍率</t>
  </si>
  <si>
    <t>月次成長率(1月→7月 CAGR)</t>
  </si>
  <si>
    <t>年換算売上(7月×12)</t>
  </si>
  <si>
    <t>2026年 着地シナリオ</t>
  </si>
  <si>
    <t>シナリオ</t>
  </si>
  <si>
    <t>8-12月売上(円)</t>
  </si>
  <si>
    <t>年間着地(円)</t>
  </si>
  <si>
    <t>目標差異(円)</t>
  </si>
  <si>
    <t>目標達成率</t>
  </si>
  <si>
    <t>A. 現状維持（7月水準で横ばい）</t>
  </si>
  <si>
    <t>B. 成長継続（月次CAGR継続）</t>
  </si>
  <si>
    <t>C. 改善計画実行（受注率30%化）</t>
  </si>
  <si>
    <t>D. 目標達成に必要な水準</t>
  </si>
  <si>
    <t>投資家向けメッセージ: 現状維持シナリオでは年間目標に対して未達となる。ギャップの主因は売上規模ではなく受注率と提案数（3_営業KPI参照）。</t>
  </si>
  <si>
    <t>営業KPIと受注率改善インパクト（2026年7月）</t>
  </si>
  <si>
    <t>7月実績</t>
  </si>
  <si>
    <t>月間目標</t>
  </si>
  <si>
    <t>達成率</t>
  </si>
  <si>
    <t>新規リード(社)</t>
  </si>
  <si>
    <t>有効リード(社)</t>
  </si>
  <si>
    <t>商談(件)</t>
  </si>
  <si>
    <t>提案(件)</t>
  </si>
  <si>
    <t>受注(件)</t>
  </si>
  <si>
    <t>受注率(受注÷商談)</t>
  </si>
  <si>
    <t>提案化率(提案÷商談)</t>
  </si>
  <si>
    <t>平均案件単価(円)</t>
  </si>
  <si>
    <t>月間受注額(円)</t>
  </si>
  <si>
    <t>営業パイプライン(円)</t>
  </si>
  <si>
    <t>受注率改善のインパクト試算</t>
  </si>
  <si>
    <t>目標受注率</t>
  </si>
  <si>
    <t>目標受注率での受注件数(件)</t>
  </si>
  <si>
    <t>受注件数の増加(件)</t>
  </si>
  <si>
    <t>パイプライン期待受注額(現行受注率)</t>
  </si>
  <si>
    <t>パイプライン期待受注額(目標受注率)</t>
  </si>
  <si>
    <t>受注率改善による月間増収(円)</t>
  </si>
  <si>
    <t>8-12月の累計増収効果(円)</t>
  </si>
  <si>
    <t>パイプラインカバレッジ(必要月商比)</t>
  </si>
  <si>
    <t>失注理由分析（2026年7月 12件）</t>
  </si>
  <si>
    <t>失注理由</t>
  </si>
  <si>
    <t>件数</t>
  </si>
  <si>
    <t>構成比</t>
  </si>
  <si>
    <t>逸失売上(円)</t>
  </si>
  <si>
    <t>価格が高い</t>
  </si>
  <si>
    <t>競合に負けた</t>
  </si>
  <si>
    <t>導入効果が不明確</t>
  </si>
  <si>
    <t>社内稟議が通らなかった</t>
  </si>
  <si>
    <t>導入時期が合わない</t>
  </si>
  <si>
    <t>合計</t>
  </si>
  <si>
    <t>投資家向けメッセージ: 失注の66.7%は「価格」と「競合」。価値訴求（ROI提示）の標準化で改善余地が大きい。</t>
  </si>
  <si>
    <t>顧客基盤・集中リスク・ユニットエコノミクス</t>
  </si>
  <si>
    <t>顧客基盤</t>
  </si>
  <si>
    <t>顧客数(社)</t>
  </si>
  <si>
    <t>うち新規顧客(社)</t>
  </si>
  <si>
    <t>うち既存顧客(社)</t>
  </si>
  <si>
    <t>平均顧客単価(年間・円)</t>
  </si>
  <si>
    <t>年換算売上(円)</t>
  </si>
  <si>
    <t>上位顧客の売上構成</t>
  </si>
  <si>
    <t>順位</t>
  </si>
  <si>
    <t>年間売上(円)</t>
  </si>
  <si>
    <t>全体比(年換算)</t>
  </si>
  <si>
    <t>1位</t>
  </si>
  <si>
    <t>2位</t>
  </si>
  <si>
    <t>3位</t>
  </si>
  <si>
    <t>4位</t>
  </si>
  <si>
    <t>5位</t>
  </si>
  <si>
    <t>上位5社合計</t>
  </si>
  <si>
    <t>顧客継続状況</t>
  </si>
  <si>
    <t>前年からの対象顧客(社)</t>
  </si>
  <si>
    <t>継続(社)</t>
  </si>
  <si>
    <t>解約(社)</t>
  </si>
  <si>
    <t>継続率</t>
  </si>
  <si>
    <t>目標継続率</t>
  </si>
  <si>
    <t>目標達成に必要な継続社数</t>
  </si>
  <si>
    <t>不足社数</t>
  </si>
  <si>
    <t>解約による年間逸失売上(円)</t>
  </si>
  <si>
    <t>ユニットエコノミクス</t>
  </si>
  <si>
    <t>平均継続年数(年)</t>
  </si>
  <si>
    <t>年間マーケティング費(円)</t>
  </si>
  <si>
    <t>CAC(マーケ費ベース・円)</t>
  </si>
  <si>
    <t>CAC回収期間(か月)</t>
  </si>
  <si>
    <t>※ CACに営業人件費は含めていない（配賦データなし＝情報不足）。実態のCACはこれより高く、LTV/CACはこれより低い。</t>
  </si>
  <si>
    <t>解約理由（3社）</t>
  </si>
  <si>
    <t>理由</t>
  </si>
  <si>
    <t>社数</t>
  </si>
  <si>
    <t>対応方針</t>
  </si>
  <si>
    <t>費用対効果が分からなかった</t>
  </si>
  <si>
    <t>導入効果レポートの定期提出を標準化（削減時間・売上寄与を数値化）</t>
  </si>
  <si>
    <t>社内でAIを内製化</t>
  </si>
  <si>
    <t>内製化後も価値が残る高度領域（ガバナンス・拡張開発）へシフト</t>
  </si>
  <si>
    <t>担当者変更による停止</t>
  </si>
  <si>
    <t>複数部署・複数レイヤーへの接点化（単一担当依存の解消）</t>
  </si>
  <si>
    <t>投資家向けメッセージ: 顧客集中度は上位5社で約30%、最大顧客で約8%。単一顧客依存リスクは限定的。</t>
  </si>
  <si>
    <t>財務・利益構造と営業利益率20%への道筋</t>
  </si>
  <si>
    <t>月次損益（2026年7月）</t>
  </si>
  <si>
    <t>粗利(円)</t>
  </si>
  <si>
    <t>固定費(円)</t>
  </si>
  <si>
    <t>営業利益(円)</t>
  </si>
  <si>
    <t>損益分岐点売上(円・月)</t>
  </si>
  <si>
    <t>目標営業利益率</t>
  </si>
  <si>
    <t>利益率20%達成の必要条件（他の条件を固定した場合）</t>
  </si>
  <si>
    <t>ドライバー</t>
  </si>
  <si>
    <t>必要水準</t>
  </si>
  <si>
    <t>必要変化</t>
  </si>
  <si>
    <t>評価</t>
  </si>
  <si>
    <t>売上のみで達成(月商・円)</t>
  </si>
  <si>
    <t>現状の1.3倍。受注率改善と採用で射程内</t>
  </si>
  <si>
    <t>粗利率のみで達成</t>
  </si>
  <si>
    <t>運用支援(75%)比率向上でも単独達成は困難</t>
  </si>
  <si>
    <t>固定費のみで達成(月・円)</t>
  </si>
  <si>
    <t>人件費中心の削減となり成長と矛盾</t>
  </si>
  <si>
    <t>推奨シナリオ（3ドライバーの組合せ）</t>
  </si>
  <si>
    <t>項目</t>
  </si>
  <si>
    <t>計画値</t>
  </si>
  <si>
    <t>根拠</t>
  </si>
  <si>
    <t>月商(円)</t>
  </si>
  <si>
    <t>受注率21.4%→30%で月間+3.6百万円（3_営業KPI）</t>
  </si>
  <si>
    <t>粗利率75%の運用支援比率を引き上げ、値引き前提の受注を削減</t>
  </si>
  <si>
    <t>固定費(月・円)</t>
  </si>
  <si>
    <t>システム・広告の見直し。人件費は削減しない</t>
  </si>
  <si>
    <t>現状からの利益増加額(円・月)</t>
  </si>
  <si>
    <t>年間固定費の内訳</t>
  </si>
  <si>
    <t>年間(円)</t>
  </si>
  <si>
    <t>人件費</t>
  </si>
  <si>
    <t>オフィス</t>
  </si>
  <si>
    <t>システム</t>
  </si>
  <si>
    <t>広告・マーケティング</t>
  </si>
  <si>
    <t>その他</t>
  </si>
  <si>
    <t>キャッシュポジション</t>
  </si>
  <si>
    <t>月間固定費(円)</t>
  </si>
  <si>
    <t>理論運転可能期間(固定費のみ・か月)</t>
  </si>
  <si>
    <t>現預金 / 年間固定費</t>
  </si>
  <si>
    <t>※ 月次営業利益は黒字のため、入金サイクルが安定していればキャッシュは減少しない。上記は売上ゼロ仮定の保守的な下限値。</t>
  </si>
  <si>
    <t>※ 売掛金回収サイクル・支払サイクルの実データは未提供のため、運転資本の厳密な分析は情報不足。</t>
  </si>
  <si>
    <t>組織・採用・AI活用の生産性</t>
  </si>
  <si>
    <t>経営者依存度（キーマンリスク）</t>
  </si>
  <si>
    <t>社長が最終対応する営業案件の比率</t>
  </si>
  <si>
    <t>社長の業務時間のうち営業・管理業務</t>
  </si>
  <si>
    <t>従業員数(名)</t>
  </si>
  <si>
    <t>1人当たり年換算売上(円)</t>
  </si>
  <si>
    <t>1人当たり年換算粗利(円)</t>
  </si>
  <si>
    <t>※ 社長が抱える業務は他の人材で代替できる体制がないと、売上規模の拡大がそのままボトルネックになる。</t>
  </si>
  <si>
    <t>採用ファネル（月間）</t>
  </si>
  <si>
    <t>段階</t>
  </si>
  <si>
    <t>人数</t>
  </si>
  <si>
    <t>歩留まり</t>
  </si>
  <si>
    <t>応募</t>
  </si>
  <si>
    <t>書類通過</t>
  </si>
  <si>
    <t>面接</t>
  </si>
  <si>
    <t>採用</t>
  </si>
  <si>
    <t>応募→採用率</t>
  </si>
  <si>
    <t>採用目標(名)</t>
  </si>
  <si>
    <t>目標達成に必要な応募数(名)</t>
  </si>
  <si>
    <t>現状ペースでの所要月数</t>
  </si>
  <si>
    <t>※ 現状の応募ペースでは採用計画が事業計画のボトルネック。応募数の拡大が成長の前提条件。</t>
  </si>
  <si>
    <t>AI社員による生産性効果（月間）</t>
  </si>
  <si>
    <t>導入前 作業時間(h)</t>
  </si>
  <si>
    <t>導入後 作業時間(h)</t>
  </si>
  <si>
    <t>削減時間(h)</t>
  </si>
  <si>
    <t>削減率</t>
  </si>
  <si>
    <t>売上創出に転換済み(h)</t>
  </si>
  <si>
    <t>AI削減時間の活用率</t>
  </si>
  <si>
    <t>未活用時間(h)</t>
  </si>
  <si>
    <t>年間人件費(円)</t>
  </si>
  <si>
    <t>人件費換算単価(円/h)</t>
  </si>
  <si>
    <t>未活用時間の人件費換算(円/月)</t>
  </si>
  <si>
    <t>AI活用率向上シナリオ</t>
  </si>
  <si>
    <t>活用率</t>
  </si>
  <si>
    <t>売上創出時間(h)</t>
  </si>
  <si>
    <t>現状からの増加(h)</t>
  </si>
  <si>
    <t>人件費換算価値(円/月)</t>
  </si>
  <si>
    <t>※ 売上創出時間あたりの売上単価は実データがなく情報不足。ここでは人件費換算の価値のみを提示している。</t>
  </si>
  <si>
    <t>投資家向けメッセージ: AIは既に月350時間を創出しているが、売上に接続されているのは22.9%。この接続率が伸びしろ。</t>
  </si>
  <si>
    <t>経営課題の優先順位付けと30/60/90日改善計画</t>
  </si>
  <si>
    <t>課題スコアリング（100点満点・当社経営会議による評価）</t>
  </si>
  <si>
    <t>経営課題</t>
  </si>
  <si>
    <t>売上影響(20)</t>
  </si>
  <si>
    <t>利益影響(20)</t>
  </si>
  <si>
    <t>緊急性(20)</t>
  </si>
  <si>
    <t>実行可能性(15)</t>
  </si>
  <si>
    <t>顧客影響(10)</t>
  </si>
  <si>
    <t>経営リスク(15)</t>
  </si>
  <si>
    <t>優先度</t>
  </si>
  <si>
    <t>① 受注率が低い（21.4%→目標30%）</t>
  </si>
  <si>
    <t>② 営業利益率が低い（7.8%→目標20%）</t>
  </si>
  <si>
    <t>③ 社長への業務集中（キーマンリスク）</t>
  </si>
  <si>
    <t>④ 既存顧客の継続率が低い（85%→目標90%）</t>
  </si>
  <si>
    <t>⑥ 採用が計画通り進んでいない</t>
  </si>
  <si>
    <t>⑦ 上位顧客への売上依存</t>
  </si>
  <si>
    <t>30/60/90日 経営改善アクションプラン</t>
  </si>
  <si>
    <t>アクション</t>
  </si>
  <si>
    <t>担当</t>
  </si>
  <si>
    <t>期限</t>
  </si>
  <si>
    <t>KPI</t>
  </si>
  <si>
    <t>期待効果</t>
  </si>
  <si>
    <t>A</t>
  </si>
  <si>
    <t>失注12件の全件ヒアリングと価格・競合対応の標準トーク作成</t>
  </si>
  <si>
    <t>営業責任者</t>
  </si>
  <si>
    <t>30日</t>
  </si>
  <si>
    <t>受注率25%</t>
  </si>
  <si>
    <t>月間受注+1件（+150万円）</t>
  </si>
  <si>
    <t>ROI算定シートを提案書に標準搭載（導入効果不明確による失注を閉じる）</t>
  </si>
  <si>
    <t>コンサル責任者</t>
  </si>
  <si>
    <t>60日</t>
  </si>
  <si>
    <t>受注率30%</t>
  </si>
  <si>
    <t>月間受注+2.4件（+360万円）</t>
  </si>
  <si>
    <t>案件別原価分析と値引き承認ルールの導入（粗利率下限の設定）</t>
  </si>
  <si>
    <t>CEO</t>
  </si>
  <si>
    <t>粗利率65%</t>
  </si>
  <si>
    <t>月間粗利+36万円</t>
  </si>
  <si>
    <t>運用支援（粗利率75%）のアップセルキャンペーンを全既存顧客に実施</t>
  </si>
  <si>
    <t>90日</t>
  </si>
  <si>
    <t>運用契約+8社</t>
  </si>
  <si>
    <t>粗利率の構造的改善（→目標68%）</t>
  </si>
  <si>
    <t>社長依存</t>
  </si>
  <si>
    <t>提案書承認・見積承認の権限移譲ルールを文書化し、営業責任者に移管</t>
  </si>
  <si>
    <t>社長対応案件20%以下</t>
  </si>
  <si>
    <t>キーマンリスクの低減（投資家減点項目の解消）</t>
  </si>
  <si>
    <t>B</t>
  </si>
  <si>
    <t>四半期ごとの導入効果レポート提出を全顧客で標準化</t>
  </si>
  <si>
    <t>CS担当</t>
  </si>
  <si>
    <t>継続率90%</t>
  </si>
  <si>
    <t>年間逸失売上-210万円の回避</t>
  </si>
  <si>
    <t>全顧客を複数部署・複数担当者接点化（担当者変更リスクの除去）</t>
  </si>
  <si>
    <t>複数接点化100%</t>
  </si>
  <si>
    <t>解約リスクの構造的低減</t>
  </si>
  <si>
    <t>AI活用</t>
  </si>
  <si>
    <t>未活用270hのうち130hを営業・アップセル活動に再配分</t>
  </si>
  <si>
    <t>AIチーム</t>
  </si>
  <si>
    <t>売上創出時間210h</t>
  </si>
  <si>
    <t>商談件数の増加（増員なしでの容量拡大）</t>
  </si>
  <si>
    <t>応募チャネル拡大とリファラル制度の導入（月間応募15名→30名）</t>
  </si>
  <si>
    <t>CEO・バックオフィス</t>
  </si>
  <si>
    <t>月間応募30名</t>
  </si>
  <si>
    <t>採用リードタイムを半減</t>
  </si>
  <si>
    <t>C</t>
  </si>
  <si>
    <t>顧客集中</t>
  </si>
  <si>
    <t>中堅顧客層の新規開拓を優先し、上位5社比率の低下をモニタリング</t>
  </si>
  <si>
    <t>上位5社比率25%以下</t>
  </si>
  <si>
    <t>売上分散による収益安定性向上</t>
  </si>
  <si>
    <t>※ 期待効果の金額は各シートの計算式に基づく試算であり、確定した受注・契約に基づくものではない。</t>
  </si>
  <si>
    <t>事業計画（FY2026〜FY2028）と資金使途</t>
  </si>
  <si>
    <t>業績計画（黄色セルは調達実行を前提とした計画値）</t>
  </si>
  <si>
    <t>年度</t>
  </si>
  <si>
    <t>前年比</t>
  </si>
  <si>
    <t>FY2026（着地見込・成長継続ケース）</t>
  </si>
  <si>
    <t>FY2027（調達後・採用8名）</t>
  </si>
  <si>
    <t>FY2028</t>
  </si>
  <si>
    <t>計画の前提条件</t>
  </si>
  <si>
    <t>FY2026売上</t>
  </si>
  <si>
    <t>2_売上の「B.成長継続シナリオ」を参照（1月→7月の月次成長率継続）</t>
  </si>
  <si>
    <t>FY2027売上</t>
  </si>
  <si>
    <t>営業2名・コンサル2名の採用完了と受注率30%定着を前提とした当社仮説</t>
  </si>
  <si>
    <t>粗利率の改善</t>
  </si>
  <si>
    <t>粗利率75%の運用支援売上比率拡大と値引き抑制による</t>
  </si>
  <si>
    <t>固定費の増加</t>
  </si>
  <si>
    <t>主に採用による人件費増（1名あたり年間人件費400万円・現行実績ベース）</t>
  </si>
  <si>
    <t>未確定事項</t>
  </si>
  <si>
    <t>市場規模・競合シェア・価格弾力性の外部データは未提供（情報不足）</t>
  </si>
  <si>
    <t>資金使途（使途積上げによる必要調達額）</t>
  </si>
  <si>
    <t>使途</t>
  </si>
  <si>
    <t>金額(円)</t>
  </si>
  <si>
    <t>目的と算出根拠</t>
  </si>
  <si>
    <t>営業・コンサル採用8名（18か月分人件費）</t>
  </si>
  <si>
    <t>1名あたり年間人件費400万円×8名×1.5年。売上対応容量の拡大</t>
  </si>
  <si>
    <t>マーケティング投資（リード創出の拡大）</t>
  </si>
  <si>
    <t>現行年間広告費800万円の拡張。新規リード月120社→240社を目標</t>
  </si>
  <si>
    <t>AI社員のプロダクト化・基盤投資</t>
  </si>
  <si>
    <t>試験導入5体を提供可能な製品へ。粗利率75%領域の拡大が目的</t>
  </si>
  <si>
    <t>カスタマーサクセス体制の構築</t>
  </si>
  <si>
    <t>継続率85%→90%へ。導入効果レポートの標準化と専任配置</t>
  </si>
  <si>
    <t>運転資金バッファ</t>
  </si>
  <si>
    <t>採用先行による一時的な利益圧迫への備え</t>
  </si>
  <si>
    <t>合計（必要調達額）</t>
  </si>
  <si>
    <t>調達後の重要KPI目標</t>
  </si>
  <si>
    <t>12か月後目標</t>
  </si>
  <si>
    <t>社長が最終対応する案件比率</t>
  </si>
  <si>
    <t>※ FY2027以降の数値は調達実行と採用達成を前提とした計画値であり、達成を保証するものではない。</t>
  </si>
  <si>
    <r>
      <rPr>
        <b/>
        <sz val="16"/>
        <rFont val="ＭＳ ゴシック"/>
        <family val="3"/>
        <charset val="128"/>
      </rPr>
      <t>株式会社</t>
    </r>
    <r>
      <rPr>
        <b/>
        <sz val="16"/>
        <rFont val="Arial"/>
        <family val="2"/>
      </rPr>
      <t>ABC</t>
    </r>
    <r>
      <rPr>
        <b/>
        <sz val="16"/>
        <rFont val="ＭＳ ゴシック"/>
        <family val="3"/>
        <charset val="128"/>
      </rPr>
      <t>コンサル</t>
    </r>
    <r>
      <rPr>
        <b/>
        <sz val="16"/>
        <rFont val="Arial"/>
        <family val="2"/>
      </rPr>
      <t xml:space="preserve"> </t>
    </r>
    <r>
      <rPr>
        <b/>
        <sz val="16"/>
        <rFont val="ＭＳ ゴシック"/>
        <family val="3"/>
        <charset val="128"/>
      </rPr>
      <t>投資家向け経営レポート</t>
    </r>
    <phoneticPr fontId="18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</si>
</sst>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\(#,##0\);\-"/>
    <numFmt numFmtId="177" formatCode="0.0%"/>
    <numFmt numFmtId="178" formatCode="0.00&quot;倍&quot;"/>
    <numFmt numFmtId="179" formatCode="0.0"/>
    <numFmt numFmtId="180" formatCode="0.0&quot;x&quot;"/>
    <numFmt numFmtId="181" formatCode="0.00&quot;年分&quot;"/>
    <numFmt numFmtId="182" formatCode="#,##0.0"/>
  </numFmts>
  <fonts count="190" x14ac:knownFonts="1">
    <font>
      <sz val="11"/>
      <color theme="1"/>
      <name val="ＭＳ Ｐゴシック"/>
      <family val="2"/>
      <scheme val="minor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Arial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Arial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Arial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4"/>
      <name val="Arial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Arial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Arial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Arial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6"/>
      <name val="Arial"/>
    </font>
    <font>
      <i/>
      <sz val="11"/>
      <color rgb="FF59595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b/>
      <sz val="11"/>
      <color rgb="FF008000"/>
      <name val="ＭＳ Ｐゴシック"/>
      <family val="3"/>
      <charset val="128"/>
    </font>
    <font>
      <b/>
      <sz val="11"/>
      <color rgb="FF008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b/>
      <sz val="16"/>
      <name val="Arial"/>
      <family val="2"/>
    </font>
    <font>
      <b/>
      <sz val="16"/>
      <name val="Arial"/>
      <family val="3"/>
      <charset val="128"/>
    </font>
  </fonts>
  <fills count="66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FFFF00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FFFF00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FFFF00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1F4E79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FFFF00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1F4E79"/>
      </patternFill>
    </fill>
    <fill>
      <patternFill patternType="solid">
        <fgColor rgb="FF1F4E7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0" fontId="4" fillId="5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6" borderId="0" xfId="0" applyFont="1" applyFill="1"/>
    <xf numFmtId="0" fontId="10" fillId="0" borderId="0" xfId="0" applyFont="1"/>
    <xf numFmtId="0" fontId="11" fillId="7" borderId="1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/>
    </xf>
    <xf numFmtId="0" fontId="13" fillId="9" borderId="0" xfId="0" applyFont="1" applyFill="1"/>
    <xf numFmtId="0" fontId="14" fillId="10" borderId="0" xfId="0" applyFont="1" applyFill="1"/>
    <xf numFmtId="176" fontId="15" fillId="0" borderId="0" xfId="0" applyNumberFormat="1" applyFont="1"/>
    <xf numFmtId="177" fontId="16" fillId="0" borderId="0" xfId="0" applyNumberFormat="1" applyFont="1"/>
    <xf numFmtId="0" fontId="17" fillId="0" borderId="0" xfId="0" applyFont="1"/>
    <xf numFmtId="3" fontId="18" fillId="0" borderId="0" xfId="0" applyNumberFormat="1" applyFont="1"/>
    <xf numFmtId="176" fontId="19" fillId="0" borderId="0" xfId="0" applyNumberFormat="1" applyFont="1"/>
    <xf numFmtId="176" fontId="20" fillId="0" borderId="0" xfId="0" applyNumberFormat="1" applyFont="1"/>
    <xf numFmtId="176" fontId="21" fillId="0" borderId="0" xfId="0" applyNumberFormat="1" applyFont="1"/>
    <xf numFmtId="177" fontId="22" fillId="0" borderId="0" xfId="0" applyNumberFormat="1" applyFont="1"/>
    <xf numFmtId="178" fontId="23" fillId="0" borderId="0" xfId="0" applyNumberFormat="1" applyFont="1"/>
    <xf numFmtId="177" fontId="24" fillId="0" borderId="0" xfId="0" applyNumberFormat="1" applyFont="1"/>
    <xf numFmtId="176" fontId="25" fillId="0" borderId="0" xfId="0" applyNumberFormat="1" applyFont="1"/>
    <xf numFmtId="177" fontId="26" fillId="0" borderId="0" xfId="0" applyNumberFormat="1" applyFont="1"/>
    <xf numFmtId="0" fontId="27" fillId="0" borderId="0" xfId="0" applyFont="1"/>
    <xf numFmtId="0" fontId="28" fillId="11" borderId="0" xfId="0" applyFont="1" applyFill="1" applyAlignment="1">
      <alignment horizontal="center"/>
    </xf>
    <xf numFmtId="0" fontId="29" fillId="12" borderId="0" xfId="0" applyFont="1" applyFill="1" applyAlignment="1">
      <alignment horizontal="center"/>
    </xf>
    <xf numFmtId="0" fontId="30" fillId="13" borderId="0" xfId="0" applyFont="1" applyFill="1"/>
    <xf numFmtId="0" fontId="31" fillId="14" borderId="0" xfId="0" applyFont="1" applyFill="1"/>
    <xf numFmtId="0" fontId="32" fillId="0" borderId="3" xfId="0" applyFont="1" applyBorder="1"/>
    <xf numFmtId="177" fontId="33" fillId="0" borderId="0" xfId="0" applyNumberFormat="1" applyFont="1"/>
    <xf numFmtId="176" fontId="34" fillId="0" borderId="0" xfId="0" applyNumberFormat="1" applyFont="1"/>
    <xf numFmtId="177" fontId="35" fillId="0" borderId="0" xfId="0" applyNumberFormat="1" applyFont="1"/>
    <xf numFmtId="177" fontId="36" fillId="0" borderId="0" xfId="0" applyNumberFormat="1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177" fontId="42" fillId="15" borderId="0" xfId="0" applyNumberFormat="1" applyFont="1" applyFill="1"/>
    <xf numFmtId="179" fontId="43" fillId="0" borderId="0" xfId="0" applyNumberFormat="1" applyFont="1"/>
    <xf numFmtId="176" fontId="44" fillId="0" borderId="0" xfId="0" applyNumberFormat="1" applyFont="1"/>
    <xf numFmtId="178" fontId="45" fillId="0" borderId="0" xfId="0" applyNumberFormat="1" applyFont="1"/>
    <xf numFmtId="3" fontId="46" fillId="0" borderId="0" xfId="0" applyNumberFormat="1" applyFont="1"/>
    <xf numFmtId="177" fontId="47" fillId="0" borderId="0" xfId="0" applyNumberFormat="1" applyFont="1"/>
    <xf numFmtId="176" fontId="48" fillId="0" borderId="0" xfId="0" applyNumberFormat="1" applyFont="1"/>
    <xf numFmtId="0" fontId="49" fillId="0" borderId="0" xfId="0" applyFont="1"/>
    <xf numFmtId="0" fontId="50" fillId="16" borderId="0" xfId="0" applyFont="1" applyFill="1"/>
    <xf numFmtId="0" fontId="51" fillId="17" borderId="0" xfId="0" applyFont="1" applyFill="1"/>
    <xf numFmtId="0" fontId="52" fillId="18" borderId="0" xfId="0" applyFont="1" applyFill="1"/>
    <xf numFmtId="0" fontId="53" fillId="19" borderId="0" xfId="0" applyFont="1" applyFill="1"/>
    <xf numFmtId="0" fontId="54" fillId="20" borderId="0" xfId="0" applyFont="1" applyFill="1"/>
    <xf numFmtId="0" fontId="55" fillId="21" borderId="0" xfId="0" applyFont="1" applyFill="1" applyAlignment="1">
      <alignment horizontal="center"/>
    </xf>
    <xf numFmtId="0" fontId="56" fillId="22" borderId="0" xfId="0" applyFont="1" applyFill="1" applyAlignment="1">
      <alignment horizontal="center"/>
    </xf>
    <xf numFmtId="0" fontId="57" fillId="0" borderId="4" xfId="0" applyFont="1" applyBorder="1"/>
    <xf numFmtId="3" fontId="58" fillId="0" borderId="0" xfId="0" applyNumberFormat="1" applyFont="1"/>
    <xf numFmtId="3" fontId="59" fillId="0" borderId="0" xfId="0" applyNumberFormat="1" applyFont="1"/>
    <xf numFmtId="176" fontId="60" fillId="0" borderId="0" xfId="0" applyNumberFormat="1" applyFont="1"/>
    <xf numFmtId="3" fontId="61" fillId="0" borderId="0" xfId="0" applyNumberFormat="1" applyFont="1"/>
    <xf numFmtId="3" fontId="62" fillId="0" borderId="0" xfId="0" applyNumberFormat="1" applyFont="1"/>
    <xf numFmtId="177" fontId="63" fillId="0" borderId="0" xfId="0" applyNumberFormat="1" applyFont="1"/>
    <xf numFmtId="3" fontId="64" fillId="0" borderId="0" xfId="0" applyNumberFormat="1" applyFont="1"/>
    <xf numFmtId="177" fontId="65" fillId="0" borderId="0" xfId="0" applyNumberFormat="1" applyFont="1"/>
    <xf numFmtId="177" fontId="66" fillId="23" borderId="0" xfId="0" applyNumberFormat="1" applyFont="1" applyFill="1"/>
    <xf numFmtId="179" fontId="67" fillId="0" borderId="0" xfId="0" applyNumberFormat="1" applyFont="1"/>
    <xf numFmtId="176" fontId="68" fillId="0" borderId="0" xfId="0" applyNumberFormat="1" applyFont="1"/>
    <xf numFmtId="3" fontId="69" fillId="0" borderId="0" xfId="0" applyNumberFormat="1" applyFont="1"/>
    <xf numFmtId="177" fontId="70" fillId="0" borderId="0" xfId="0" applyNumberFormat="1" applyFont="1"/>
    <xf numFmtId="2" fontId="71" fillId="0" borderId="0" xfId="0" applyNumberFormat="1" applyFont="1"/>
    <xf numFmtId="176" fontId="72" fillId="0" borderId="0" xfId="0" applyNumberFormat="1" applyFont="1"/>
    <xf numFmtId="176" fontId="73" fillId="0" borderId="0" xfId="0" applyNumberFormat="1" applyFont="1"/>
    <xf numFmtId="0" fontId="74" fillId="0" borderId="0" xfId="0" applyFont="1"/>
    <xf numFmtId="180" fontId="75" fillId="0" borderId="0" xfId="0" applyNumberFormat="1" applyFont="1"/>
    <xf numFmtId="179" fontId="76" fillId="0" borderId="0" xfId="0" applyNumberFormat="1" applyFont="1"/>
    <xf numFmtId="3" fontId="77" fillId="0" borderId="0" xfId="0" applyNumberFormat="1" applyFont="1"/>
    <xf numFmtId="0" fontId="78" fillId="0" borderId="0" xfId="0" applyFont="1"/>
    <xf numFmtId="0" fontId="79" fillId="24" borderId="0" xfId="0" applyFont="1" applyFill="1"/>
    <xf numFmtId="0" fontId="80" fillId="25" borderId="0" xfId="0" applyFont="1" applyFill="1"/>
    <xf numFmtId="0" fontId="81" fillId="26" borderId="0" xfId="0" applyFont="1" applyFill="1"/>
    <xf numFmtId="0" fontId="82" fillId="27" borderId="0" xfId="0" applyFont="1" applyFill="1"/>
    <xf numFmtId="0" fontId="83" fillId="28" borderId="0" xfId="0" applyFont="1" applyFill="1"/>
    <xf numFmtId="0" fontId="84" fillId="29" borderId="0" xfId="0" applyFont="1" applyFill="1" applyAlignment="1">
      <alignment horizontal="center"/>
    </xf>
    <xf numFmtId="0" fontId="85" fillId="30" borderId="0" xfId="0" applyFont="1" applyFill="1" applyAlignment="1">
      <alignment horizontal="center"/>
    </xf>
    <xf numFmtId="0" fontId="86" fillId="31" borderId="0" xfId="0" applyFont="1" applyFill="1" applyAlignment="1">
      <alignment horizontal="center"/>
    </xf>
    <xf numFmtId="0" fontId="87" fillId="0" borderId="5" xfId="0" applyFont="1" applyBorder="1"/>
    <xf numFmtId="176" fontId="88" fillId="0" borderId="0" xfId="0" applyNumberFormat="1" applyFont="1"/>
    <xf numFmtId="177" fontId="89" fillId="0" borderId="0" xfId="0" applyNumberFormat="1" applyFont="1"/>
    <xf numFmtId="176" fontId="90" fillId="0" borderId="0" xfId="0" applyNumberFormat="1" applyFont="1"/>
    <xf numFmtId="176" fontId="91" fillId="0" borderId="0" xfId="0" applyNumberFormat="1" applyFont="1"/>
    <xf numFmtId="176" fontId="92" fillId="0" borderId="0" xfId="0" applyNumberFormat="1" applyFont="1"/>
    <xf numFmtId="177" fontId="93" fillId="0" borderId="0" xfId="0" applyNumberFormat="1" applyFont="1"/>
    <xf numFmtId="176" fontId="94" fillId="0" borderId="0" xfId="0" applyNumberFormat="1" applyFont="1"/>
    <xf numFmtId="177" fontId="95" fillId="32" borderId="0" xfId="0" applyNumberFormat="1" applyFont="1" applyFill="1"/>
    <xf numFmtId="176" fontId="96" fillId="0" borderId="0" xfId="0" applyNumberFormat="1" applyFont="1"/>
    <xf numFmtId="177" fontId="97" fillId="0" borderId="0" xfId="0" applyNumberFormat="1" applyFont="1"/>
    <xf numFmtId="176" fontId="98" fillId="0" borderId="0" xfId="0" applyNumberFormat="1" applyFont="1"/>
    <xf numFmtId="176" fontId="99" fillId="33" borderId="0" xfId="0" applyNumberFormat="1" applyFont="1" applyFill="1"/>
    <xf numFmtId="177" fontId="100" fillId="34" borderId="0" xfId="0" applyNumberFormat="1" applyFont="1" applyFill="1"/>
    <xf numFmtId="176" fontId="101" fillId="35" borderId="0" xfId="0" applyNumberFormat="1" applyFont="1" applyFill="1"/>
    <xf numFmtId="176" fontId="102" fillId="0" borderId="0" xfId="0" applyNumberFormat="1" applyFont="1"/>
    <xf numFmtId="177" fontId="103" fillId="0" borderId="0" xfId="0" applyNumberFormat="1" applyFont="1"/>
    <xf numFmtId="176" fontId="104" fillId="0" borderId="0" xfId="0" applyNumberFormat="1" applyFont="1"/>
    <xf numFmtId="176" fontId="105" fillId="0" borderId="0" xfId="0" applyNumberFormat="1" applyFont="1"/>
    <xf numFmtId="0" fontId="106" fillId="0" borderId="0" xfId="0" applyFont="1"/>
    <xf numFmtId="177" fontId="107" fillId="0" borderId="0" xfId="0" applyNumberFormat="1" applyFont="1"/>
    <xf numFmtId="176" fontId="108" fillId="0" borderId="0" xfId="0" applyNumberFormat="1" applyFont="1"/>
    <xf numFmtId="0" fontId="109" fillId="0" borderId="0" xfId="0" applyFont="1"/>
    <xf numFmtId="179" fontId="110" fillId="0" borderId="0" xfId="0" applyNumberFormat="1" applyFont="1"/>
    <xf numFmtId="176" fontId="111" fillId="0" borderId="0" xfId="0" applyNumberFormat="1" applyFont="1"/>
    <xf numFmtId="181" fontId="112" fillId="0" borderId="0" xfId="0" applyNumberFormat="1" applyFont="1"/>
    <xf numFmtId="0" fontId="113" fillId="0" borderId="0" xfId="0" applyFont="1"/>
    <xf numFmtId="0" fontId="114" fillId="36" borderId="0" xfId="0" applyFont="1" applyFill="1"/>
    <xf numFmtId="0" fontId="115" fillId="37" borderId="0" xfId="0" applyFont="1" applyFill="1"/>
    <xf numFmtId="0" fontId="116" fillId="38" borderId="0" xfId="0" applyFont="1" applyFill="1"/>
    <xf numFmtId="0" fontId="117" fillId="39" borderId="0" xfId="0" applyFont="1" applyFill="1"/>
    <xf numFmtId="0" fontId="118" fillId="40" borderId="0" xfId="0" applyFont="1" applyFill="1" applyAlignment="1">
      <alignment horizontal="center"/>
    </xf>
    <xf numFmtId="0" fontId="119" fillId="41" borderId="0" xfId="0" applyFont="1" applyFill="1" applyAlignment="1">
      <alignment horizontal="center"/>
    </xf>
    <xf numFmtId="177" fontId="120" fillId="0" borderId="0" xfId="0" applyNumberFormat="1" applyFont="1"/>
    <xf numFmtId="3" fontId="121" fillId="0" borderId="0" xfId="0" applyNumberFormat="1" applyFont="1"/>
    <xf numFmtId="176" fontId="122" fillId="0" borderId="0" xfId="0" applyNumberFormat="1" applyFont="1"/>
    <xf numFmtId="182" fontId="123" fillId="0" borderId="0" xfId="0" applyNumberFormat="1" applyFont="1"/>
    <xf numFmtId="177" fontId="124" fillId="0" borderId="0" xfId="0" applyNumberFormat="1" applyFont="1"/>
    <xf numFmtId="177" fontId="125" fillId="0" borderId="0" xfId="0" applyNumberFormat="1" applyFont="1"/>
    <xf numFmtId="3" fontId="126" fillId="42" borderId="0" xfId="0" applyNumberFormat="1" applyFont="1" applyFill="1"/>
    <xf numFmtId="182" fontId="127" fillId="0" borderId="0" xfId="0" applyNumberFormat="1" applyFont="1"/>
    <xf numFmtId="3" fontId="128" fillId="0" borderId="0" xfId="0" applyNumberFormat="1" applyFont="1"/>
    <xf numFmtId="3" fontId="129" fillId="0" borderId="0" xfId="0" applyNumberFormat="1" applyFont="1"/>
    <xf numFmtId="177" fontId="130" fillId="0" borderId="0" xfId="0" applyNumberFormat="1" applyFont="1"/>
    <xf numFmtId="3" fontId="131" fillId="0" borderId="0" xfId="0" applyNumberFormat="1" applyFont="1"/>
    <xf numFmtId="177" fontId="132" fillId="0" borderId="0" xfId="0" applyNumberFormat="1" applyFont="1"/>
    <xf numFmtId="3" fontId="133" fillId="0" borderId="0" xfId="0" applyNumberFormat="1" applyFont="1"/>
    <xf numFmtId="176" fontId="134" fillId="0" borderId="0" xfId="0" applyNumberFormat="1" applyFont="1"/>
    <xf numFmtId="176" fontId="135" fillId="0" borderId="0" xfId="0" applyNumberFormat="1" applyFont="1"/>
    <xf numFmtId="9" fontId="136" fillId="43" borderId="0" xfId="0" applyNumberFormat="1" applyFont="1" applyFill="1"/>
    <xf numFmtId="3" fontId="137" fillId="0" borderId="0" xfId="0" applyNumberFormat="1" applyFont="1"/>
    <xf numFmtId="176" fontId="138" fillId="0" borderId="0" xfId="0" applyNumberFormat="1" applyFont="1"/>
    <xf numFmtId="0" fontId="139" fillId="0" borderId="0" xfId="0" applyFont="1"/>
    <xf numFmtId="0" fontId="140" fillId="44" borderId="0" xfId="0" applyFont="1" applyFill="1"/>
    <xf numFmtId="0" fontId="141" fillId="45" borderId="0" xfId="0" applyFont="1" applyFill="1"/>
    <xf numFmtId="0" fontId="142" fillId="46" borderId="0" xfId="0" applyFont="1" applyFill="1" applyAlignment="1">
      <alignment horizontal="center" wrapText="1"/>
    </xf>
    <xf numFmtId="0" fontId="143" fillId="0" borderId="0" xfId="0" applyFont="1"/>
    <xf numFmtId="0" fontId="144" fillId="0" borderId="0" xfId="0" applyFont="1" applyAlignment="1">
      <alignment horizontal="center"/>
    </xf>
    <xf numFmtId="0" fontId="145" fillId="0" borderId="0" xfId="0" applyFont="1"/>
    <xf numFmtId="0" fontId="146" fillId="47" borderId="0" xfId="0" applyFont="1" applyFill="1"/>
    <xf numFmtId="0" fontId="147" fillId="48" borderId="0" xfId="0" applyFont="1" applyFill="1"/>
    <xf numFmtId="0" fontId="148" fillId="49" borderId="0" xfId="0" applyFont="1" applyFill="1"/>
    <xf numFmtId="0" fontId="149" fillId="50" borderId="0" xfId="0" applyFont="1" applyFill="1"/>
    <xf numFmtId="0" fontId="150" fillId="51" borderId="0" xfId="0" applyFont="1" applyFill="1" applyAlignment="1">
      <alignment horizontal="center"/>
    </xf>
    <xf numFmtId="0" fontId="151" fillId="52" borderId="0" xfId="0" applyFont="1" applyFill="1" applyAlignment="1">
      <alignment horizontal="center"/>
    </xf>
    <xf numFmtId="0" fontId="152" fillId="53" borderId="0" xfId="0" applyFont="1" applyFill="1" applyAlignment="1">
      <alignment horizontal="center"/>
    </xf>
    <xf numFmtId="0" fontId="153" fillId="54" borderId="0" xfId="0" applyFont="1" applyFill="1"/>
    <xf numFmtId="0" fontId="154" fillId="0" borderId="0" xfId="0" applyFont="1"/>
    <xf numFmtId="177" fontId="155" fillId="0" borderId="0" xfId="0" applyNumberFormat="1" applyFont="1"/>
    <xf numFmtId="0" fontId="156" fillId="55" borderId="0" xfId="0" applyFont="1" applyFill="1"/>
    <xf numFmtId="176" fontId="157" fillId="0" borderId="0" xfId="0" applyNumberFormat="1" applyFont="1"/>
    <xf numFmtId="0" fontId="158" fillId="0" borderId="0" xfId="0" applyFont="1"/>
    <xf numFmtId="0" fontId="159" fillId="56" borderId="0" xfId="0" applyFont="1" applyFill="1"/>
    <xf numFmtId="177" fontId="160" fillId="0" borderId="0" xfId="0" applyNumberFormat="1" applyFont="1"/>
    <xf numFmtId="0" fontId="161" fillId="0" borderId="0" xfId="0" applyFont="1"/>
    <xf numFmtId="0" fontId="162" fillId="57" borderId="0" xfId="0" applyFont="1" applyFill="1"/>
    <xf numFmtId="177" fontId="163" fillId="0" borderId="0" xfId="0" applyNumberFormat="1" applyFont="1"/>
    <xf numFmtId="0" fontId="164" fillId="0" borderId="6" xfId="0" applyFont="1" applyBorder="1"/>
    <xf numFmtId="177" fontId="165" fillId="0" borderId="0" xfId="0" applyNumberFormat="1" applyFont="1"/>
    <xf numFmtId="177" fontId="166" fillId="58" borderId="0" xfId="0" applyNumberFormat="1" applyFont="1" applyFill="1"/>
    <xf numFmtId="0" fontId="167" fillId="0" borderId="0" xfId="0" applyFont="1"/>
    <xf numFmtId="0" fontId="168" fillId="0" borderId="0" xfId="0" applyFont="1"/>
    <xf numFmtId="0" fontId="169" fillId="59" borderId="0" xfId="0" applyFont="1" applyFill="1"/>
    <xf numFmtId="0" fontId="170" fillId="60" borderId="0" xfId="0" applyFont="1" applyFill="1"/>
    <xf numFmtId="0" fontId="171" fillId="61" borderId="0" xfId="0" applyFont="1" applyFill="1"/>
    <xf numFmtId="0" fontId="172" fillId="62" borderId="0" xfId="0" applyFont="1" applyFill="1"/>
    <xf numFmtId="0" fontId="173" fillId="63" borderId="0" xfId="0" applyFont="1" applyFill="1"/>
    <xf numFmtId="0" fontId="174" fillId="0" borderId="0" xfId="0" applyFont="1"/>
    <xf numFmtId="0" fontId="175" fillId="64" borderId="0" xfId="0" applyFont="1" applyFill="1" applyAlignment="1">
      <alignment horizontal="center"/>
    </xf>
    <xf numFmtId="0" fontId="176" fillId="65" borderId="0" xfId="0" applyFont="1" applyFill="1" applyAlignment="1">
      <alignment horizontal="center"/>
    </xf>
    <xf numFmtId="177" fontId="177" fillId="0" borderId="0" xfId="0" applyNumberFormat="1" applyFont="1"/>
    <xf numFmtId="176" fontId="178" fillId="0" borderId="0" xfId="0" applyNumberFormat="1" applyFont="1"/>
    <xf numFmtId="176" fontId="179" fillId="0" borderId="0" xfId="0" applyNumberFormat="1" applyFont="1"/>
    <xf numFmtId="180" fontId="180" fillId="0" borderId="0" xfId="0" applyNumberFormat="1" applyFont="1"/>
    <xf numFmtId="176" fontId="181" fillId="0" borderId="0" xfId="0" applyNumberFormat="1" applyFont="1"/>
    <xf numFmtId="1" fontId="182" fillId="0" borderId="0" xfId="0" applyNumberFormat="1" applyFont="1" applyAlignment="1">
      <alignment horizontal="center"/>
    </xf>
    <xf numFmtId="176" fontId="183" fillId="0" borderId="0" xfId="0" applyNumberFormat="1" applyFont="1"/>
    <xf numFmtId="176" fontId="184" fillId="0" borderId="0" xfId="0" applyNumberFormat="1" applyFont="1"/>
    <xf numFmtId="177" fontId="185" fillId="0" borderId="0" xfId="0" applyNumberFormat="1" applyFont="1"/>
    <xf numFmtId="0" fontId="189" fillId="0" borderId="0" xfId="0" applyFont="1"/>
  </cellXfs>
  <cellStyles count="1">
    <cellStyle name="標準" xfId="0" builtinId="0"/>
  </cellStyles>
  <dxfs count="2">
    <dxf>
      <font>
        <b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r>
              <a:t>月商は1月8.2百万円から7月12.0百万円へ46%成長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月次売上</c:v>
          </c:tx>
          <c:cat>
            <c:strRef>
              <c:f>'2_売上'!$A$4:$A$10</c:f>
              <c:strCache>
                <c:ptCount val="7"/>
                <c:pt idx="0">
                  <c:v>2026年1月</c:v>
                </c:pt>
                <c:pt idx="1">
                  <c:v>2026年2月</c:v>
                </c:pt>
                <c:pt idx="2">
                  <c:v>2026年3月</c:v>
                </c:pt>
                <c:pt idx="3">
                  <c:v>2026年4月</c:v>
                </c:pt>
                <c:pt idx="4">
                  <c:v>2026年5月</c:v>
                </c:pt>
                <c:pt idx="5">
                  <c:v>2026年6月</c:v>
                </c:pt>
                <c:pt idx="6">
                  <c:v>2026年7月</c:v>
                </c:pt>
              </c:strCache>
            </c:strRef>
          </c:cat>
          <c:val>
            <c:numRef>
              <c:f>'2_売上'!$B$4:$B$10</c:f>
              <c:numCache>
                <c:formatCode>General</c:formatCode>
                <c:ptCount val="7"/>
                <c:pt idx="0">
                  <c:v>8200000</c:v>
                </c:pt>
                <c:pt idx="1">
                  <c:v>8800000</c:v>
                </c:pt>
                <c:pt idx="2">
                  <c:v>9500000</c:v>
                </c:pt>
                <c:pt idx="3">
                  <c:v>10200000</c:v>
                </c:pt>
                <c:pt idx="4">
                  <c:v>11000000</c:v>
                </c:pt>
                <c:pt idx="5">
                  <c:v>10300000</c:v>
                </c:pt>
                <c:pt idx="6">
                  <c:v>12000000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B0E-4E4F-AAC1-7602BE225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11111"/>
        <c:axId val="222222222"/>
      </c:lineChart>
      <c:catAx>
        <c:axId val="11111111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22222222"/>
        <c:crosses val="autoZero"/>
        <c:auto val="1"/>
        <c:lblAlgn val="ctr"/>
        <c:lblOffset val="100"/>
        <c:noMultiLvlLbl val="1"/>
      </c:catAx>
      <c:valAx>
        <c:axId val="22222222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売上(円)</a:t>
                </a:r>
              </a:p>
            </c:rich>
          </c:tx>
          <c:overlay val="1"/>
        </c:title>
        <c:numFmt formatCode="#,##0" sourceLinked="0"/>
        <c:majorTickMark val="cross"/>
        <c:minorTickMark val="cross"/>
        <c:tickLblPos val="nextTo"/>
        <c:crossAx val="11111111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r>
              <a:t>年間固定費78百万円の61.5%は人件費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v>年間固定費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'5_財務'!$A$30:$A$34</c:f>
              <c:strCache>
                <c:ptCount val="5"/>
                <c:pt idx="0">
                  <c:v>人件費</c:v>
                </c:pt>
                <c:pt idx="1">
                  <c:v>オフィス</c:v>
                </c:pt>
                <c:pt idx="2">
                  <c:v>システム</c:v>
                </c:pt>
                <c:pt idx="3">
                  <c:v>広告・マーケティング</c:v>
                </c:pt>
                <c:pt idx="4">
                  <c:v>その他</c:v>
                </c:pt>
              </c:strCache>
            </c:strRef>
          </c:cat>
          <c:val>
            <c:numRef>
              <c:f>'5_財務'!$B$30:$B$34</c:f>
              <c:numCache>
                <c:formatCode>General</c:formatCode>
                <c:ptCount val="5"/>
                <c:pt idx="0">
                  <c:v>48000000</c:v>
                </c:pt>
                <c:pt idx="1">
                  <c:v>6000000</c:v>
                </c:pt>
                <c:pt idx="2">
                  <c:v>7000000</c:v>
                </c:pt>
                <c:pt idx="3">
                  <c:v>8000000</c:v>
                </c:pt>
                <c:pt idx="4">
                  <c:v>9000000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6-4AA7-80E0-DF9C471DDEE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r>
              <a:t>売上・営業利益はFY2028に3.2億円・利益率24%を目指す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売上</c:v>
          </c:tx>
          <c:spPr>
            <a:solidFill>
              <a:srgbClr val="1F4E79"/>
            </a:solidFill>
          </c:spPr>
          <c:invertIfNegative val="1"/>
          <c:cat>
            <c:strRef>
              <c:f>'8_3か年計画'!$A$5:$A$7</c:f>
              <c:strCache>
                <c:ptCount val="3"/>
                <c:pt idx="0">
                  <c:v>FY2026（着地見込・成長継続ケース）</c:v>
                </c:pt>
                <c:pt idx="1">
                  <c:v>FY2027（調達後・採用8名）</c:v>
                </c:pt>
                <c:pt idx="2">
                  <c:v>FY2028</c:v>
                </c:pt>
              </c:strCache>
            </c:strRef>
          </c:cat>
          <c:val>
            <c:numRef>
              <c:f>'8_3か年計画'!$B$5:$B$7</c:f>
              <c:numCache>
                <c:formatCode>General</c:formatCode>
                <c:ptCount val="3"/>
                <c:pt idx="0">
                  <c:v>142875662.61646196</c:v>
                </c:pt>
                <c:pt idx="1">
                  <c:v>220000000</c:v>
                </c:pt>
                <c:pt idx="2">
                  <c:v>320000000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053D-4949-9510-F6761F152213}"/>
            </c:ext>
          </c:extLst>
        </c:ser>
        <c:ser>
          <c:idx val="1"/>
          <c:order val="1"/>
          <c:tx>
            <c:v>営業利益</c:v>
          </c:tx>
          <c:spPr>
            <a:solidFill>
              <a:srgbClr val="70AD47"/>
            </a:solidFill>
          </c:spPr>
          <c:invertIfNegative val="1"/>
          <c:cat>
            <c:strRef>
              <c:f>'8_3か年計画'!$A$5:$A$7</c:f>
              <c:strCache>
                <c:ptCount val="3"/>
                <c:pt idx="0">
                  <c:v>FY2026（着地見込・成長継続ケース）</c:v>
                </c:pt>
                <c:pt idx="1">
                  <c:v>FY2027（調達後・採用8名）</c:v>
                </c:pt>
                <c:pt idx="2">
                  <c:v>FY2028</c:v>
                </c:pt>
              </c:strCache>
            </c:strRef>
          </c:cat>
          <c:val>
            <c:numRef>
              <c:f>'8_3か年計画'!$F$5:$F$7</c:f>
              <c:numCache>
                <c:formatCode>General</c:formatCode>
                <c:ptCount val="3"/>
                <c:pt idx="0">
                  <c:v>10582910.822206423</c:v>
                </c:pt>
                <c:pt idx="1">
                  <c:v>40200000</c:v>
                </c:pt>
                <c:pt idx="2">
                  <c:v>77600000.00000003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1-053D-4949-9510-F6761F152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11111"/>
        <c:axId val="222222222"/>
      </c:barChart>
      <c:catAx>
        <c:axId val="11111111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22222222"/>
        <c:crosses val="autoZero"/>
        <c:auto val="1"/>
        <c:lblAlgn val="ctr"/>
        <c:lblOffset val="100"/>
        <c:noMultiLvlLbl val="1"/>
      </c:catAx>
      <c:valAx>
        <c:axId val="22222222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円</a:t>
                </a:r>
              </a:p>
            </c:rich>
          </c:tx>
          <c:overlay val="1"/>
        </c:title>
        <c:numFmt formatCode="#,##0" sourceLinked="0"/>
        <c:majorTickMark val="cross"/>
        <c:minorTickMark val="cross"/>
        <c:tickLblPos val="nextTo"/>
        <c:crossAx val="11111111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13</xdr:col>
      <xdr:colOff>0</xdr:colOff>
      <xdr:row>17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10</xdr:col>
      <xdr:colOff>0</xdr:colOff>
      <xdr:row>43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ctionPlan" displayName="ActionPlan" ref="A14:G24" totalsRowShown="0">
  <autoFilter ref="A14:G24" xr:uid="{00000000-0009-0000-0100-000001000000}"/>
  <tableColumns count="7">
    <tableColumn id="1" xr3:uid="{00000000-0010-0000-0000-000001000000}" name="優先度"/>
    <tableColumn id="2" xr3:uid="{00000000-0010-0000-0000-000002000000}" name="課題"/>
    <tableColumn id="3" xr3:uid="{00000000-0010-0000-0000-000003000000}" name="アクション"/>
    <tableColumn id="4" xr3:uid="{00000000-0010-0000-0000-000004000000}" name="担当"/>
    <tableColumn id="5" xr3:uid="{00000000-0010-0000-0000-000005000000}" name="期限"/>
    <tableColumn id="6" xr3:uid="{00000000-0010-0000-0000-000006000000}" name="KPI"/>
    <tableColumn id="7" xr3:uid="{00000000-0010-0000-0000-000007000000}" name="期待効果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/>
  </sheetViews>
  <sheetFormatPr defaultRowHeight="13" x14ac:dyDescent="0.2"/>
  <cols>
    <col min="1" max="1" width="22" customWidth="1"/>
    <col min="2" max="2" width="95" customWidth="1"/>
  </cols>
  <sheetData>
    <row r="1" spans="1:2" ht="20" x14ac:dyDescent="0.4">
      <c r="A1" s="186" t="s">
        <v>389</v>
      </c>
    </row>
    <row r="2" spans="1:2" x14ac:dyDescent="0.2">
      <c r="A2" t="s">
        <v>0</v>
      </c>
    </row>
    <row r="3" spans="1:2" x14ac:dyDescent="0.2">
      <c r="A3" t="s">
        <v>1</v>
      </c>
    </row>
    <row r="5" spans="1:2" ht="14" x14ac:dyDescent="0.2">
      <c r="A5" s="1" t="s">
        <v>2</v>
      </c>
    </row>
    <row r="6" spans="1:2" x14ac:dyDescent="0.2">
      <c r="A6" s="5" t="s">
        <v>3</v>
      </c>
      <c r="B6" t="s">
        <v>4</v>
      </c>
    </row>
    <row r="7" spans="1:2" x14ac:dyDescent="0.2">
      <c r="A7" s="5" t="s">
        <v>5</v>
      </c>
      <c r="B7" t="s">
        <v>6</v>
      </c>
    </row>
    <row r="8" spans="1:2" x14ac:dyDescent="0.2">
      <c r="A8" s="5" t="s">
        <v>7</v>
      </c>
      <c r="B8" t="s">
        <v>8</v>
      </c>
    </row>
    <row r="9" spans="1:2" x14ac:dyDescent="0.2">
      <c r="A9" s="5" t="s">
        <v>9</v>
      </c>
      <c r="B9" t="s">
        <v>10</v>
      </c>
    </row>
    <row r="10" spans="1:2" x14ac:dyDescent="0.2">
      <c r="A10" s="5" t="s">
        <v>11</v>
      </c>
      <c r="B10" t="s">
        <v>12</v>
      </c>
    </row>
    <row r="11" spans="1:2" x14ac:dyDescent="0.2">
      <c r="A11" s="5" t="s">
        <v>13</v>
      </c>
      <c r="B11" t="s">
        <v>14</v>
      </c>
    </row>
    <row r="12" spans="1:2" x14ac:dyDescent="0.2">
      <c r="A12" s="5" t="s">
        <v>15</v>
      </c>
      <c r="B12" t="s">
        <v>16</v>
      </c>
    </row>
    <row r="13" spans="1:2" x14ac:dyDescent="0.2">
      <c r="A13" s="5" t="s">
        <v>17</v>
      </c>
      <c r="B13" t="s">
        <v>18</v>
      </c>
    </row>
    <row r="15" spans="1:2" ht="14" x14ac:dyDescent="0.2">
      <c r="A15" s="2" t="s">
        <v>19</v>
      </c>
    </row>
    <row r="16" spans="1:2" x14ac:dyDescent="0.2">
      <c r="A16" s="8" t="s">
        <v>20</v>
      </c>
      <c r="B16" t="s">
        <v>21</v>
      </c>
    </row>
    <row r="17" spans="1:2" x14ac:dyDescent="0.2">
      <c r="A17" s="6" t="s">
        <v>22</v>
      </c>
      <c r="B17" t="s">
        <v>23</v>
      </c>
    </row>
    <row r="18" spans="1:2" x14ac:dyDescent="0.2">
      <c r="A18" s="9" t="s">
        <v>24</v>
      </c>
      <c r="B18" t="s">
        <v>25</v>
      </c>
    </row>
    <row r="20" spans="1:2" ht="14" x14ac:dyDescent="0.2">
      <c r="A20" s="3" t="s">
        <v>26</v>
      </c>
    </row>
    <row r="21" spans="1:2" x14ac:dyDescent="0.2">
      <c r="A21" s="7" t="s">
        <v>27</v>
      </c>
      <c r="B21" t="s">
        <v>28</v>
      </c>
    </row>
    <row r="22" spans="1:2" x14ac:dyDescent="0.2">
      <c r="A22" s="7" t="s">
        <v>29</v>
      </c>
      <c r="B22" t="s">
        <v>30</v>
      </c>
    </row>
    <row r="23" spans="1:2" x14ac:dyDescent="0.2">
      <c r="A23" s="7" t="s">
        <v>31</v>
      </c>
      <c r="B23" t="s">
        <v>32</v>
      </c>
    </row>
    <row r="24" spans="1:2" x14ac:dyDescent="0.2">
      <c r="A24" s="7" t="s">
        <v>33</v>
      </c>
      <c r="B24" t="s">
        <v>34</v>
      </c>
    </row>
    <row r="25" spans="1:2" x14ac:dyDescent="0.2">
      <c r="A25" s="7" t="s">
        <v>35</v>
      </c>
      <c r="B25" t="s">
        <v>36</v>
      </c>
    </row>
    <row r="26" spans="1:2" x14ac:dyDescent="0.2">
      <c r="A26" s="7" t="s">
        <v>37</v>
      </c>
      <c r="B26" t="s">
        <v>38</v>
      </c>
    </row>
    <row r="28" spans="1:2" ht="14" x14ac:dyDescent="0.2">
      <c r="A28" s="4" t="s">
        <v>39</v>
      </c>
    </row>
    <row r="29" spans="1:2" x14ac:dyDescent="0.2">
      <c r="A29" t="s">
        <v>40</v>
      </c>
    </row>
    <row r="30" spans="1:2" x14ac:dyDescent="0.2">
      <c r="A30" t="s">
        <v>41</v>
      </c>
    </row>
  </sheetData>
  <phoneticPr fontId="186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>
      <pane ySplit="2" topLeftCell="A3" activePane="bottomLeft" state="frozen"/>
      <selection pane="bottomLeft"/>
    </sheetView>
  </sheetViews>
  <sheetFormatPr defaultRowHeight="13" x14ac:dyDescent="0.2"/>
  <cols>
    <col min="1" max="1" width="36" customWidth="1"/>
    <col min="2" max="2" width="22" customWidth="1"/>
    <col min="3" max="3" width="20" customWidth="1"/>
    <col min="4" max="5" width="16" customWidth="1"/>
  </cols>
  <sheetData>
    <row r="1" spans="1:5" ht="20" x14ac:dyDescent="0.4">
      <c r="A1" s="167" t="s">
        <v>42</v>
      </c>
    </row>
    <row r="2" spans="1:5" x14ac:dyDescent="0.2">
      <c r="A2" s="168" t="s">
        <v>43</v>
      </c>
    </row>
    <row r="4" spans="1:5" ht="14" x14ac:dyDescent="0.2">
      <c r="A4" s="169" t="s">
        <v>44</v>
      </c>
    </row>
    <row r="5" spans="1:5" x14ac:dyDescent="0.2">
      <c r="A5" s="174" t="s">
        <v>45</v>
      </c>
      <c r="B5" t="s">
        <v>46</v>
      </c>
    </row>
    <row r="6" spans="1:5" x14ac:dyDescent="0.2">
      <c r="A6" s="174" t="s">
        <v>47</v>
      </c>
      <c r="B6" t="s">
        <v>48</v>
      </c>
    </row>
    <row r="7" spans="1:5" x14ac:dyDescent="0.2">
      <c r="A7" s="174" t="s">
        <v>49</v>
      </c>
      <c r="B7" t="s">
        <v>50</v>
      </c>
    </row>
    <row r="9" spans="1:5" ht="14" x14ac:dyDescent="0.2">
      <c r="A9" s="170" t="s">
        <v>51</v>
      </c>
    </row>
    <row r="10" spans="1:5" x14ac:dyDescent="0.2">
      <c r="A10" s="175" t="s">
        <v>52</v>
      </c>
      <c r="B10" s="175" t="s">
        <v>53</v>
      </c>
      <c r="C10" s="175" t="s">
        <v>54</v>
      </c>
      <c r="D10" s="175" t="s">
        <v>55</v>
      </c>
      <c r="E10" s="175" t="s">
        <v>56</v>
      </c>
    </row>
    <row r="11" spans="1:5" x14ac:dyDescent="0.2">
      <c r="A11" t="s">
        <v>57</v>
      </c>
      <c r="B11" s="177">
        <f>'2_売上'!B16</f>
        <v>0.46666666666666667</v>
      </c>
      <c r="C11" s="177">
        <f>1</f>
        <v>1</v>
      </c>
      <c r="D11" s="177">
        <f t="shared" ref="D11:D17" si="0">B11-C11</f>
        <v>-0.53333333333333333</v>
      </c>
      <c r="E11" t="s">
        <v>5</v>
      </c>
    </row>
    <row r="12" spans="1:5" x14ac:dyDescent="0.2">
      <c r="A12" t="s">
        <v>58</v>
      </c>
      <c r="B12" s="178">
        <f>'2_売上'!B22</f>
        <v>144000000</v>
      </c>
      <c r="C12" s="178">
        <f>'2_売上'!B13</f>
        <v>150000000</v>
      </c>
      <c r="D12" s="178">
        <f t="shared" si="0"/>
        <v>-6000000</v>
      </c>
      <c r="E12" t="s">
        <v>5</v>
      </c>
    </row>
    <row r="13" spans="1:5" x14ac:dyDescent="0.2">
      <c r="A13" t="s">
        <v>59</v>
      </c>
      <c r="B13" s="177">
        <f>'3_営業KPI'!B9</f>
        <v>0.21428571428571427</v>
      </c>
      <c r="C13" s="177">
        <f>'3_営業KPI'!B16</f>
        <v>0.3</v>
      </c>
      <c r="D13" s="177">
        <f t="shared" si="0"/>
        <v>-8.5714285714285715E-2</v>
      </c>
      <c r="E13" t="s">
        <v>7</v>
      </c>
    </row>
    <row r="14" spans="1:5" x14ac:dyDescent="0.2">
      <c r="A14" t="s">
        <v>60</v>
      </c>
      <c r="B14" s="177">
        <f>'4_顧客'!B23</f>
        <v>0.85</v>
      </c>
      <c r="C14" s="177">
        <f>'4_顧客'!B24</f>
        <v>0.9</v>
      </c>
      <c r="D14" s="177">
        <f t="shared" si="0"/>
        <v>-5.0000000000000044E-2</v>
      </c>
      <c r="E14" t="s">
        <v>9</v>
      </c>
    </row>
    <row r="15" spans="1:5" x14ac:dyDescent="0.2">
      <c r="A15" t="s">
        <v>61</v>
      </c>
      <c r="B15" s="177">
        <f>'5_財務'!B5</f>
        <v>0.62</v>
      </c>
      <c r="C15" s="177">
        <f>'5_財務'!B22</f>
        <v>0.68</v>
      </c>
      <c r="D15" s="177">
        <f t="shared" si="0"/>
        <v>-6.0000000000000053E-2</v>
      </c>
      <c r="E15" t="s">
        <v>11</v>
      </c>
    </row>
    <row r="16" spans="1:5" x14ac:dyDescent="0.2">
      <c r="A16" t="s">
        <v>62</v>
      </c>
      <c r="B16" s="177">
        <f>'5_財務'!B9</f>
        <v>7.8333333333333338E-2</v>
      </c>
      <c r="C16" s="177">
        <f>'5_財務'!B11</f>
        <v>0.2</v>
      </c>
      <c r="D16" s="177">
        <f t="shared" si="0"/>
        <v>-0.12166666666666667</v>
      </c>
      <c r="E16" t="s">
        <v>11</v>
      </c>
    </row>
    <row r="17" spans="1:5" x14ac:dyDescent="0.2">
      <c r="A17" t="s">
        <v>63</v>
      </c>
      <c r="B17" s="177">
        <f>'6_組織AI'!B29</f>
        <v>0.22857142857142856</v>
      </c>
      <c r="C17" s="177">
        <f>'8_3か年計画'!C31</f>
        <v>0.6</v>
      </c>
      <c r="D17" s="177">
        <f t="shared" si="0"/>
        <v>-0.37142857142857144</v>
      </c>
      <c r="E17" t="s">
        <v>13</v>
      </c>
    </row>
    <row r="19" spans="1:5" ht="14" x14ac:dyDescent="0.2">
      <c r="A19" s="171" t="s">
        <v>64</v>
      </c>
    </row>
    <row r="20" spans="1:5" x14ac:dyDescent="0.2">
      <c r="A20" t="s">
        <v>65</v>
      </c>
      <c r="B20" s="179">
        <f>'2_売上'!B15</f>
        <v>70000000</v>
      </c>
    </row>
    <row r="21" spans="1:5" x14ac:dyDescent="0.2">
      <c r="A21" t="s">
        <v>66</v>
      </c>
      <c r="B21" s="179">
        <f>'3_営業KPI'!B13</f>
        <v>42000000</v>
      </c>
    </row>
    <row r="22" spans="1:5" x14ac:dyDescent="0.2">
      <c r="A22" t="s">
        <v>67</v>
      </c>
      <c r="B22" s="179">
        <f>'4_顧客'!B33</f>
        <v>8680000</v>
      </c>
    </row>
    <row r="23" spans="1:5" x14ac:dyDescent="0.2">
      <c r="A23" t="s">
        <v>68</v>
      </c>
      <c r="B23" s="180">
        <f>'4_顧客'!B36</f>
        <v>19.53</v>
      </c>
    </row>
    <row r="24" spans="1:5" x14ac:dyDescent="0.2">
      <c r="A24" t="s">
        <v>69</v>
      </c>
      <c r="B24" s="181">
        <f>'5_財務'!B38</f>
        <v>42000000</v>
      </c>
    </row>
    <row r="25" spans="1:5" x14ac:dyDescent="0.2">
      <c r="A25" t="s">
        <v>70</v>
      </c>
      <c r="B25" s="181">
        <f>'5_財務'!B8</f>
        <v>940000</v>
      </c>
    </row>
    <row r="27" spans="1:5" ht="14" x14ac:dyDescent="0.2">
      <c r="A27" s="172" t="s">
        <v>71</v>
      </c>
    </row>
    <row r="28" spans="1:5" x14ac:dyDescent="0.2">
      <c r="A28" s="176" t="s">
        <v>72</v>
      </c>
      <c r="B28" s="176" t="s">
        <v>73</v>
      </c>
      <c r="C28" s="176" t="s">
        <v>74</v>
      </c>
    </row>
    <row r="29" spans="1:5" x14ac:dyDescent="0.2">
      <c r="A29" t="s">
        <v>75</v>
      </c>
      <c r="B29" s="182">
        <f>'7_改善計画'!H5</f>
        <v>87</v>
      </c>
      <c r="C29" t="s">
        <v>76</v>
      </c>
    </row>
    <row r="30" spans="1:5" x14ac:dyDescent="0.2">
      <c r="A30" t="s">
        <v>77</v>
      </c>
      <c r="B30" s="182">
        <f>'7_改善計画'!H6</f>
        <v>84</v>
      </c>
      <c r="C30" t="s">
        <v>78</v>
      </c>
    </row>
    <row r="31" spans="1:5" x14ac:dyDescent="0.2">
      <c r="A31" t="s">
        <v>79</v>
      </c>
      <c r="B31" s="182">
        <f>'7_改善計画'!H7</f>
        <v>79</v>
      </c>
      <c r="C31" t="s">
        <v>80</v>
      </c>
    </row>
    <row r="32" spans="1:5" x14ac:dyDescent="0.2">
      <c r="A32" t="s">
        <v>81</v>
      </c>
      <c r="B32" s="182">
        <f>'7_改善計画'!H8</f>
        <v>77</v>
      </c>
      <c r="C32" t="s">
        <v>82</v>
      </c>
    </row>
    <row r="33" spans="1:3" x14ac:dyDescent="0.2">
      <c r="A33" t="s">
        <v>83</v>
      </c>
      <c r="B33" s="182">
        <f>'7_改善計画'!H9</f>
        <v>68</v>
      </c>
      <c r="C33" t="s">
        <v>84</v>
      </c>
    </row>
    <row r="35" spans="1:3" ht="14" x14ac:dyDescent="0.2">
      <c r="A35" s="173" t="s">
        <v>85</v>
      </c>
    </row>
    <row r="36" spans="1:3" x14ac:dyDescent="0.2">
      <c r="A36" t="s">
        <v>86</v>
      </c>
      <c r="B36" s="183">
        <f>'8_3か年計画'!B23</f>
        <v>100000000</v>
      </c>
    </row>
    <row r="37" spans="1:3" x14ac:dyDescent="0.2">
      <c r="A37" t="s">
        <v>87</v>
      </c>
      <c r="B37" t="s">
        <v>88</v>
      </c>
    </row>
    <row r="38" spans="1:3" x14ac:dyDescent="0.2">
      <c r="A38" t="s">
        <v>89</v>
      </c>
      <c r="B38" s="184">
        <f>'8_3か年計画'!B7</f>
        <v>320000000</v>
      </c>
    </row>
    <row r="39" spans="1:3" x14ac:dyDescent="0.2">
      <c r="A39" t="s">
        <v>90</v>
      </c>
      <c r="B39" s="185">
        <f>'8_3か年計画'!G7</f>
        <v>0.2425000000000001</v>
      </c>
    </row>
    <row r="40" spans="1:3" x14ac:dyDescent="0.2">
      <c r="A40" t="s">
        <v>91</v>
      </c>
    </row>
  </sheetData>
  <phoneticPr fontId="186"/>
  <conditionalFormatting sqref="D11:D17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/>
  </sheetViews>
  <sheetFormatPr defaultRowHeight="13" x14ac:dyDescent="0.2"/>
  <cols>
    <col min="1" max="1" width="34" customWidth="1"/>
    <col min="2" max="3" width="18" customWidth="1"/>
    <col min="4" max="4" width="14" customWidth="1"/>
    <col min="5" max="5" width="16" customWidth="1"/>
  </cols>
  <sheetData>
    <row r="1" spans="1:5" ht="18" x14ac:dyDescent="0.4">
      <c r="A1" s="10" t="s">
        <v>92</v>
      </c>
    </row>
    <row r="3" spans="1:5" x14ac:dyDescent="0.2">
      <c r="A3" s="11" t="s">
        <v>93</v>
      </c>
      <c r="B3" s="11" t="s">
        <v>94</v>
      </c>
      <c r="C3" s="11" t="s">
        <v>95</v>
      </c>
      <c r="D3" s="11" t="s">
        <v>96</v>
      </c>
      <c r="E3" s="11" t="s">
        <v>97</v>
      </c>
    </row>
    <row r="4" spans="1:5" x14ac:dyDescent="0.2">
      <c r="A4" t="s">
        <v>98</v>
      </c>
      <c r="B4" s="17">
        <v>8200000</v>
      </c>
      <c r="C4" s="15">
        <f>B4</f>
        <v>8200000</v>
      </c>
      <c r="D4" s="16"/>
      <c r="E4" s="16">
        <f t="shared" ref="E4:E10" si="0">C4/$B$13</f>
        <v>5.4666666666666669E-2</v>
      </c>
    </row>
    <row r="5" spans="1:5" x14ac:dyDescent="0.2">
      <c r="A5" t="s">
        <v>99</v>
      </c>
      <c r="B5" s="17">
        <v>8800000</v>
      </c>
      <c r="C5" s="15">
        <f t="shared" ref="C5:C10" si="1">C4+B5</f>
        <v>17000000</v>
      </c>
      <c r="D5" s="16">
        <f t="shared" ref="D5:D10" si="2">B5/B4-1</f>
        <v>7.3170731707317138E-2</v>
      </c>
      <c r="E5" s="16">
        <f t="shared" si="0"/>
        <v>0.11333333333333333</v>
      </c>
    </row>
    <row r="6" spans="1:5" x14ac:dyDescent="0.2">
      <c r="A6" t="s">
        <v>100</v>
      </c>
      <c r="B6" s="17">
        <v>9500000</v>
      </c>
      <c r="C6" s="15">
        <f t="shared" si="1"/>
        <v>26500000</v>
      </c>
      <c r="D6" s="16">
        <f t="shared" si="2"/>
        <v>7.9545454545454586E-2</v>
      </c>
      <c r="E6" s="16">
        <f t="shared" si="0"/>
        <v>0.17666666666666667</v>
      </c>
    </row>
    <row r="7" spans="1:5" x14ac:dyDescent="0.2">
      <c r="A7" t="s">
        <v>101</v>
      </c>
      <c r="B7" s="17">
        <v>10200000</v>
      </c>
      <c r="C7" s="15">
        <f t="shared" si="1"/>
        <v>36700000</v>
      </c>
      <c r="D7" s="16">
        <f t="shared" si="2"/>
        <v>7.3684210526315796E-2</v>
      </c>
      <c r="E7" s="16">
        <f t="shared" si="0"/>
        <v>0.24466666666666667</v>
      </c>
    </row>
    <row r="8" spans="1:5" x14ac:dyDescent="0.2">
      <c r="A8" t="s">
        <v>102</v>
      </c>
      <c r="B8" s="17">
        <v>11000000</v>
      </c>
      <c r="C8" s="15">
        <f t="shared" si="1"/>
        <v>47700000</v>
      </c>
      <c r="D8" s="16">
        <f t="shared" si="2"/>
        <v>7.8431372549019551E-2</v>
      </c>
      <c r="E8" s="16">
        <f t="shared" si="0"/>
        <v>0.318</v>
      </c>
    </row>
    <row r="9" spans="1:5" x14ac:dyDescent="0.2">
      <c r="A9" t="s">
        <v>103</v>
      </c>
      <c r="B9" s="17">
        <v>10300000</v>
      </c>
      <c r="C9" s="15">
        <f t="shared" si="1"/>
        <v>58000000</v>
      </c>
      <c r="D9" s="16">
        <f t="shared" si="2"/>
        <v>-6.3636363636363602E-2</v>
      </c>
      <c r="E9" s="16">
        <f t="shared" si="0"/>
        <v>0.38666666666666666</v>
      </c>
    </row>
    <row r="10" spans="1:5" x14ac:dyDescent="0.2">
      <c r="A10" t="s">
        <v>104</v>
      </c>
      <c r="B10" s="17">
        <v>12000000</v>
      </c>
      <c r="C10" s="15">
        <f t="shared" si="1"/>
        <v>70000000</v>
      </c>
      <c r="D10" s="16">
        <f t="shared" si="2"/>
        <v>0.16504854368932032</v>
      </c>
      <c r="E10" s="16">
        <f t="shared" si="0"/>
        <v>0.46666666666666667</v>
      </c>
    </row>
    <row r="12" spans="1:5" x14ac:dyDescent="0.2">
      <c r="A12" s="13" t="s">
        <v>105</v>
      </c>
    </row>
    <row r="13" spans="1:5" x14ac:dyDescent="0.2">
      <c r="A13" t="s">
        <v>106</v>
      </c>
      <c r="B13" s="18">
        <v>150000000</v>
      </c>
    </row>
    <row r="14" spans="1:5" x14ac:dyDescent="0.2">
      <c r="A14" t="s">
        <v>107</v>
      </c>
      <c r="B14" s="18">
        <v>5</v>
      </c>
    </row>
    <row r="15" spans="1:5" x14ac:dyDescent="0.2">
      <c r="A15" t="s">
        <v>65</v>
      </c>
      <c r="B15" s="19">
        <f>C10</f>
        <v>70000000</v>
      </c>
    </row>
    <row r="16" spans="1:5" x14ac:dyDescent="0.2">
      <c r="A16" t="s">
        <v>108</v>
      </c>
      <c r="B16" s="22">
        <f>B15/B13</f>
        <v>0.46666666666666667</v>
      </c>
    </row>
    <row r="17" spans="1:5" x14ac:dyDescent="0.2">
      <c r="A17" t="s">
        <v>109</v>
      </c>
      <c r="B17" s="20">
        <f>B13-B15</f>
        <v>80000000</v>
      </c>
    </row>
    <row r="18" spans="1:5" x14ac:dyDescent="0.2">
      <c r="A18" t="s">
        <v>110</v>
      </c>
      <c r="B18" s="20">
        <f>B17/B14</f>
        <v>16000000</v>
      </c>
    </row>
    <row r="19" spans="1:5" x14ac:dyDescent="0.2">
      <c r="A19" t="s">
        <v>111</v>
      </c>
      <c r="B19" s="20">
        <f>AVERAGE(B8:B10)</f>
        <v>11100000</v>
      </c>
    </row>
    <row r="20" spans="1:5" x14ac:dyDescent="0.2">
      <c r="A20" t="s">
        <v>112</v>
      </c>
      <c r="B20" s="23">
        <f>B18/B19</f>
        <v>1.4414414414414414</v>
      </c>
    </row>
    <row r="21" spans="1:5" x14ac:dyDescent="0.2">
      <c r="A21" t="s">
        <v>113</v>
      </c>
      <c r="B21" s="24">
        <f>(B10/B4)^(1/6)-1</f>
        <v>6.5519083307604253E-2</v>
      </c>
    </row>
    <row r="22" spans="1:5" x14ac:dyDescent="0.2">
      <c r="A22" t="s">
        <v>114</v>
      </c>
      <c r="B22" s="21">
        <f>B10*12</f>
        <v>144000000</v>
      </c>
    </row>
    <row r="24" spans="1:5" x14ac:dyDescent="0.2">
      <c r="A24" s="14" t="s">
        <v>115</v>
      </c>
    </row>
    <row r="25" spans="1:5" x14ac:dyDescent="0.2">
      <c r="A25" s="12" t="s">
        <v>116</v>
      </c>
      <c r="B25" s="12" t="s">
        <v>117</v>
      </c>
      <c r="C25" s="12" t="s">
        <v>118</v>
      </c>
      <c r="D25" s="12" t="s">
        <v>119</v>
      </c>
      <c r="E25" s="12" t="s">
        <v>120</v>
      </c>
    </row>
    <row r="26" spans="1:5" x14ac:dyDescent="0.2">
      <c r="A26" t="s">
        <v>121</v>
      </c>
      <c r="B26" s="25">
        <f>$B$10*$B$14</f>
        <v>60000000</v>
      </c>
      <c r="C26" s="25">
        <f>$B$15+B26</f>
        <v>130000000</v>
      </c>
      <c r="D26" s="25">
        <f>C26-$B$13</f>
        <v>-20000000</v>
      </c>
      <c r="E26" s="26">
        <f>C26/$B$13</f>
        <v>0.8666666666666667</v>
      </c>
    </row>
    <row r="27" spans="1:5" x14ac:dyDescent="0.2">
      <c r="A27" t="s">
        <v>122</v>
      </c>
      <c r="B27" s="25">
        <f>$B$10*(1+$B$21)*((1+$B$21)^$B$14-1)/$B$21</f>
        <v>72875662.616461962</v>
      </c>
      <c r="C27" s="25">
        <f>$B$15+B27</f>
        <v>142875662.61646196</v>
      </c>
      <c r="D27" s="25">
        <f>C27-$B$13</f>
        <v>-7124337.3835380375</v>
      </c>
      <c r="E27" s="26">
        <f>C27/$B$13</f>
        <v>0.95250441744307979</v>
      </c>
    </row>
    <row r="28" spans="1:5" x14ac:dyDescent="0.2">
      <c r="A28" t="s">
        <v>123</v>
      </c>
      <c r="B28" s="25">
        <f>($B$10+'3_営業KPI'!$B$21)*$B$14</f>
        <v>78000000</v>
      </c>
      <c r="C28" s="25">
        <f>$B$15+B28</f>
        <v>148000000</v>
      </c>
      <c r="D28" s="25">
        <f>C28-$B$13</f>
        <v>-2000000</v>
      </c>
      <c r="E28" s="26">
        <f>C28/$B$13</f>
        <v>0.98666666666666669</v>
      </c>
    </row>
    <row r="29" spans="1:5" x14ac:dyDescent="0.2">
      <c r="A29" t="s">
        <v>124</v>
      </c>
      <c r="B29" s="25">
        <f>$B$18*$B$14</f>
        <v>80000000</v>
      </c>
      <c r="C29" s="25">
        <f>$B$15+B29</f>
        <v>150000000</v>
      </c>
      <c r="D29" s="25">
        <f>C29-$B$13</f>
        <v>0</v>
      </c>
      <c r="E29" s="26">
        <f>C29/$B$13</f>
        <v>1</v>
      </c>
    </row>
    <row r="31" spans="1:5" x14ac:dyDescent="0.2">
      <c r="A31" t="s">
        <v>125</v>
      </c>
    </row>
  </sheetData>
  <phoneticPr fontId="186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workbookViewId="0"/>
  </sheetViews>
  <sheetFormatPr defaultRowHeight="13" x14ac:dyDescent="0.2"/>
  <cols>
    <col min="1" max="1" width="38" customWidth="1"/>
    <col min="2" max="2" width="18" customWidth="1"/>
    <col min="3" max="4" width="16" customWidth="1"/>
  </cols>
  <sheetData>
    <row r="1" spans="1:4" ht="18" x14ac:dyDescent="0.4">
      <c r="A1" s="27" t="s">
        <v>126</v>
      </c>
    </row>
    <row r="3" spans="1:4" x14ac:dyDescent="0.2">
      <c r="A3" s="28" t="s">
        <v>52</v>
      </c>
      <c r="B3" s="28" t="s">
        <v>127</v>
      </c>
      <c r="C3" s="28" t="s">
        <v>128</v>
      </c>
      <c r="D3" s="28" t="s">
        <v>129</v>
      </c>
    </row>
    <row r="4" spans="1:4" x14ac:dyDescent="0.2">
      <c r="A4" t="s">
        <v>130</v>
      </c>
      <c r="B4" s="37">
        <v>120</v>
      </c>
      <c r="C4" s="38">
        <v>100</v>
      </c>
      <c r="D4" s="35">
        <f>B4/C4</f>
        <v>1.2</v>
      </c>
    </row>
    <row r="5" spans="1:4" x14ac:dyDescent="0.2">
      <c r="A5" t="s">
        <v>131</v>
      </c>
      <c r="B5" s="37">
        <v>65</v>
      </c>
      <c r="C5" s="38"/>
      <c r="D5" s="35"/>
    </row>
    <row r="6" spans="1:4" x14ac:dyDescent="0.2">
      <c r="A6" t="s">
        <v>132</v>
      </c>
      <c r="B6" s="37">
        <v>28</v>
      </c>
      <c r="C6" s="38">
        <v>30</v>
      </c>
      <c r="D6" s="35">
        <f>B6/C6</f>
        <v>0.93333333333333335</v>
      </c>
    </row>
    <row r="7" spans="1:4" x14ac:dyDescent="0.2">
      <c r="A7" t="s">
        <v>133</v>
      </c>
      <c r="B7" s="37">
        <v>18</v>
      </c>
      <c r="C7" s="38">
        <v>20</v>
      </c>
      <c r="D7" s="35">
        <f>B7/C7</f>
        <v>0.9</v>
      </c>
    </row>
    <row r="8" spans="1:4" x14ac:dyDescent="0.2">
      <c r="A8" t="s">
        <v>134</v>
      </c>
      <c r="B8" s="37">
        <v>6</v>
      </c>
      <c r="C8" s="38">
        <v>8</v>
      </c>
      <c r="D8" s="35">
        <f>B8/C8</f>
        <v>0.75</v>
      </c>
    </row>
    <row r="9" spans="1:4" x14ac:dyDescent="0.2">
      <c r="A9" t="s">
        <v>135</v>
      </c>
      <c r="B9" s="33">
        <f>B8/B6</f>
        <v>0.21428571428571427</v>
      </c>
      <c r="C9" s="33">
        <f>C8/C6</f>
        <v>0.26666666666666666</v>
      </c>
      <c r="D9" s="33">
        <f>B9/C9</f>
        <v>0.80357142857142849</v>
      </c>
    </row>
    <row r="10" spans="1:4" x14ac:dyDescent="0.2">
      <c r="A10" t="s">
        <v>136</v>
      </c>
      <c r="B10" s="33">
        <f>B7/B6</f>
        <v>0.6428571428571429</v>
      </c>
      <c r="C10" s="33">
        <f>C7/C6</f>
        <v>0.66666666666666663</v>
      </c>
      <c r="D10" s="33"/>
    </row>
    <row r="11" spans="1:4" x14ac:dyDescent="0.2">
      <c r="A11" t="s">
        <v>137</v>
      </c>
      <c r="B11" s="39">
        <v>1500000</v>
      </c>
      <c r="C11" s="34"/>
    </row>
    <row r="12" spans="1:4" x14ac:dyDescent="0.2">
      <c r="A12" t="s">
        <v>138</v>
      </c>
      <c r="B12" s="34">
        <f>B8*B11</f>
        <v>9000000</v>
      </c>
      <c r="C12" s="40">
        <v>12000000</v>
      </c>
      <c r="D12" s="36">
        <f>B12/C12</f>
        <v>0.75</v>
      </c>
    </row>
    <row r="13" spans="1:4" x14ac:dyDescent="0.2">
      <c r="A13" t="s">
        <v>139</v>
      </c>
      <c r="B13" s="41">
        <v>42000000</v>
      </c>
      <c r="C13" s="34"/>
    </row>
    <row r="15" spans="1:4" x14ac:dyDescent="0.2">
      <c r="A15" s="30" t="s">
        <v>140</v>
      </c>
    </row>
    <row r="16" spans="1:4" x14ac:dyDescent="0.2">
      <c r="A16" t="s">
        <v>141</v>
      </c>
      <c r="B16" s="42">
        <v>0.3</v>
      </c>
    </row>
    <row r="17" spans="1:4" x14ac:dyDescent="0.2">
      <c r="A17" t="s">
        <v>142</v>
      </c>
      <c r="B17" s="43">
        <f>B6*B16</f>
        <v>8.4</v>
      </c>
    </row>
    <row r="18" spans="1:4" x14ac:dyDescent="0.2">
      <c r="A18" t="s">
        <v>143</v>
      </c>
      <c r="B18" s="43">
        <f>B17-B8</f>
        <v>2.4000000000000004</v>
      </c>
    </row>
    <row r="19" spans="1:4" x14ac:dyDescent="0.2">
      <c r="A19" t="s">
        <v>144</v>
      </c>
      <c r="B19" s="44">
        <f>B13*B9</f>
        <v>9000000</v>
      </c>
    </row>
    <row r="20" spans="1:4" x14ac:dyDescent="0.2">
      <c r="A20" t="s">
        <v>145</v>
      </c>
      <c r="B20" s="44">
        <f>B13*B16</f>
        <v>12600000</v>
      </c>
    </row>
    <row r="21" spans="1:4" x14ac:dyDescent="0.2">
      <c r="A21" t="s">
        <v>146</v>
      </c>
      <c r="B21" s="44">
        <f>B18*B11</f>
        <v>3600000.0000000005</v>
      </c>
    </row>
    <row r="22" spans="1:4" x14ac:dyDescent="0.2">
      <c r="A22" t="s">
        <v>147</v>
      </c>
      <c r="B22" s="44">
        <f>B21*'2_売上'!B14</f>
        <v>18000000.000000004</v>
      </c>
    </row>
    <row r="23" spans="1:4" x14ac:dyDescent="0.2">
      <c r="A23" t="s">
        <v>148</v>
      </c>
      <c r="B23" s="45">
        <f>B13/'2_売上'!B18</f>
        <v>2.625</v>
      </c>
    </row>
    <row r="25" spans="1:4" x14ac:dyDescent="0.2">
      <c r="A25" s="31" t="s">
        <v>149</v>
      </c>
    </row>
    <row r="26" spans="1:4" x14ac:dyDescent="0.2">
      <c r="A26" s="29" t="s">
        <v>150</v>
      </c>
      <c r="B26" s="29" t="s">
        <v>151</v>
      </c>
      <c r="C26" s="29" t="s">
        <v>152</v>
      </c>
      <c r="D26" s="29" t="s">
        <v>153</v>
      </c>
    </row>
    <row r="27" spans="1:4" x14ac:dyDescent="0.2">
      <c r="A27" t="s">
        <v>154</v>
      </c>
      <c r="B27" s="46">
        <v>5</v>
      </c>
      <c r="C27" s="47">
        <f>B27/$B$32</f>
        <v>0.41666666666666669</v>
      </c>
      <c r="D27" s="48">
        <f>B27*$B$11</f>
        <v>7500000</v>
      </c>
    </row>
    <row r="28" spans="1:4" x14ac:dyDescent="0.2">
      <c r="A28" t="s">
        <v>155</v>
      </c>
      <c r="B28" s="46">
        <v>3</v>
      </c>
      <c r="C28" s="47">
        <f>B28/$B$32</f>
        <v>0.25</v>
      </c>
      <c r="D28" s="48">
        <f>B28*$B$11</f>
        <v>4500000</v>
      </c>
    </row>
    <row r="29" spans="1:4" x14ac:dyDescent="0.2">
      <c r="A29" t="s">
        <v>156</v>
      </c>
      <c r="B29" s="46">
        <v>2</v>
      </c>
      <c r="C29" s="47">
        <f>B29/$B$32</f>
        <v>0.16666666666666666</v>
      </c>
      <c r="D29" s="48">
        <f>B29*$B$11</f>
        <v>3000000</v>
      </c>
    </row>
    <row r="30" spans="1:4" x14ac:dyDescent="0.2">
      <c r="A30" t="s">
        <v>157</v>
      </c>
      <c r="B30" s="46">
        <v>1</v>
      </c>
      <c r="C30" s="47">
        <f>B30/$B$32</f>
        <v>8.3333333333333329E-2</v>
      </c>
      <c r="D30" s="48">
        <f>B30*$B$11</f>
        <v>1500000</v>
      </c>
    </row>
    <row r="31" spans="1:4" x14ac:dyDescent="0.2">
      <c r="A31" t="s">
        <v>158</v>
      </c>
      <c r="B31" s="46">
        <v>1</v>
      </c>
      <c r="C31" s="47">
        <f>B31/$B$32</f>
        <v>8.3333333333333329E-2</v>
      </c>
      <c r="D31" s="48">
        <f>B31*$B$11</f>
        <v>1500000</v>
      </c>
    </row>
    <row r="32" spans="1:4" x14ac:dyDescent="0.2">
      <c r="A32" s="32" t="s">
        <v>159</v>
      </c>
      <c r="B32" s="46">
        <f>SUM(B27:B31)</f>
        <v>12</v>
      </c>
      <c r="C32" s="47">
        <f>SUM(C27:C31)</f>
        <v>1</v>
      </c>
      <c r="D32" s="48">
        <f>SUM(D27:D31)</f>
        <v>18000000</v>
      </c>
    </row>
    <row r="34" spans="1:1" x14ac:dyDescent="0.2">
      <c r="A34" t="s">
        <v>160</v>
      </c>
    </row>
  </sheetData>
  <phoneticPr fontId="18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6"/>
  <sheetViews>
    <sheetView workbookViewId="0"/>
  </sheetViews>
  <sheetFormatPr defaultRowHeight="13" x14ac:dyDescent="0.2"/>
  <cols>
    <col min="1" max="1" width="34" customWidth="1"/>
    <col min="2" max="2" width="18" customWidth="1"/>
    <col min="3" max="3" width="58" customWidth="1"/>
  </cols>
  <sheetData>
    <row r="1" spans="1:3" ht="18" x14ac:dyDescent="0.4">
      <c r="A1" s="49" t="s">
        <v>161</v>
      </c>
    </row>
    <row r="3" spans="1:3" x14ac:dyDescent="0.2">
      <c r="A3" s="50" t="s">
        <v>162</v>
      </c>
    </row>
    <row r="4" spans="1:3" x14ac:dyDescent="0.2">
      <c r="A4" t="s">
        <v>163</v>
      </c>
      <c r="B4" s="58">
        <v>32</v>
      </c>
    </row>
    <row r="5" spans="1:3" x14ac:dyDescent="0.2">
      <c r="A5" t="s">
        <v>164</v>
      </c>
      <c r="B5" s="58">
        <v>18</v>
      </c>
    </row>
    <row r="6" spans="1:3" x14ac:dyDescent="0.2">
      <c r="A6" t="s">
        <v>165</v>
      </c>
      <c r="B6" s="58">
        <v>14</v>
      </c>
    </row>
    <row r="7" spans="1:3" x14ac:dyDescent="0.2">
      <c r="A7" t="s">
        <v>166</v>
      </c>
      <c r="B7" s="59">
        <v>2100000</v>
      </c>
    </row>
    <row r="8" spans="1:3" x14ac:dyDescent="0.2">
      <c r="A8" t="s">
        <v>167</v>
      </c>
      <c r="B8" s="60">
        <f>'2_売上'!B22</f>
        <v>144000000</v>
      </c>
    </row>
    <row r="10" spans="1:3" x14ac:dyDescent="0.2">
      <c r="A10" s="51" t="s">
        <v>168</v>
      </c>
    </row>
    <row r="11" spans="1:3" x14ac:dyDescent="0.2">
      <c r="A11" s="55" t="s">
        <v>169</v>
      </c>
      <c r="B11" s="55" t="s">
        <v>170</v>
      </c>
      <c r="C11" s="55" t="s">
        <v>171</v>
      </c>
    </row>
    <row r="12" spans="1:3" x14ac:dyDescent="0.2">
      <c r="A12" t="s">
        <v>172</v>
      </c>
      <c r="B12" s="61">
        <v>12000000</v>
      </c>
      <c r="C12" s="63">
        <f t="shared" ref="C12:C17" si="0">B12/$B$8</f>
        <v>8.3333333333333329E-2</v>
      </c>
    </row>
    <row r="13" spans="1:3" x14ac:dyDescent="0.2">
      <c r="A13" t="s">
        <v>173</v>
      </c>
      <c r="B13" s="61">
        <v>9000000</v>
      </c>
      <c r="C13" s="63">
        <f t="shared" si="0"/>
        <v>6.25E-2</v>
      </c>
    </row>
    <row r="14" spans="1:3" x14ac:dyDescent="0.2">
      <c r="A14" t="s">
        <v>174</v>
      </c>
      <c r="B14" s="61">
        <v>8000000</v>
      </c>
      <c r="C14" s="63">
        <f t="shared" si="0"/>
        <v>5.5555555555555552E-2</v>
      </c>
    </row>
    <row r="15" spans="1:3" x14ac:dyDescent="0.2">
      <c r="A15" t="s">
        <v>175</v>
      </c>
      <c r="B15" s="61">
        <v>7000000</v>
      </c>
      <c r="C15" s="63">
        <f t="shared" si="0"/>
        <v>4.8611111111111112E-2</v>
      </c>
    </row>
    <row r="16" spans="1:3" x14ac:dyDescent="0.2">
      <c r="A16" t="s">
        <v>176</v>
      </c>
      <c r="B16" s="61">
        <v>6000000</v>
      </c>
      <c r="C16" s="63">
        <f t="shared" si="0"/>
        <v>4.1666666666666664E-2</v>
      </c>
    </row>
    <row r="17" spans="1:3" x14ac:dyDescent="0.2">
      <c r="A17" s="57" t="s">
        <v>177</v>
      </c>
      <c r="B17" s="62">
        <f>SUM(B12:B16)</f>
        <v>42000000</v>
      </c>
      <c r="C17" s="63">
        <f t="shared" si="0"/>
        <v>0.29166666666666669</v>
      </c>
    </row>
    <row r="19" spans="1:3" x14ac:dyDescent="0.2">
      <c r="A19" s="52" t="s">
        <v>178</v>
      </c>
    </row>
    <row r="20" spans="1:3" x14ac:dyDescent="0.2">
      <c r="A20" t="s">
        <v>179</v>
      </c>
      <c r="B20" s="64">
        <v>20</v>
      </c>
    </row>
    <row r="21" spans="1:3" x14ac:dyDescent="0.2">
      <c r="A21" t="s">
        <v>180</v>
      </c>
      <c r="B21" s="64">
        <v>17</v>
      </c>
    </row>
    <row r="22" spans="1:3" x14ac:dyDescent="0.2">
      <c r="A22" t="s">
        <v>181</v>
      </c>
      <c r="B22" s="64">
        <v>3</v>
      </c>
    </row>
    <row r="23" spans="1:3" x14ac:dyDescent="0.2">
      <c r="A23" t="s">
        <v>182</v>
      </c>
      <c r="B23" s="65">
        <f>B21/B20</f>
        <v>0.85</v>
      </c>
    </row>
    <row r="24" spans="1:3" x14ac:dyDescent="0.2">
      <c r="A24" t="s">
        <v>183</v>
      </c>
      <c r="B24" s="66">
        <v>0.9</v>
      </c>
    </row>
    <row r="25" spans="1:3" x14ac:dyDescent="0.2">
      <c r="A25" t="s">
        <v>184</v>
      </c>
      <c r="B25" s="67">
        <f>B20*B24</f>
        <v>18</v>
      </c>
    </row>
    <row r="26" spans="1:3" x14ac:dyDescent="0.2">
      <c r="A26" t="s">
        <v>185</v>
      </c>
      <c r="B26" s="67">
        <f>B25-B21</f>
        <v>1</v>
      </c>
    </row>
    <row r="27" spans="1:3" x14ac:dyDescent="0.2">
      <c r="A27" t="s">
        <v>186</v>
      </c>
      <c r="B27" s="68">
        <f>B22*B7</f>
        <v>6300000</v>
      </c>
    </row>
    <row r="29" spans="1:3" x14ac:dyDescent="0.2">
      <c r="A29" s="53" t="s">
        <v>187</v>
      </c>
    </row>
    <row r="30" spans="1:3" x14ac:dyDescent="0.2">
      <c r="A30" t="s">
        <v>166</v>
      </c>
      <c r="B30" s="69">
        <f>B7</f>
        <v>2100000</v>
      </c>
    </row>
    <row r="31" spans="1:3" x14ac:dyDescent="0.2">
      <c r="A31" t="s">
        <v>61</v>
      </c>
      <c r="B31" s="70">
        <f>'5_財務'!B5</f>
        <v>0.62</v>
      </c>
    </row>
    <row r="32" spans="1:3" x14ac:dyDescent="0.2">
      <c r="A32" t="s">
        <v>188</v>
      </c>
      <c r="B32" s="71">
        <f>1/(1-B23)</f>
        <v>6.6666666666666661</v>
      </c>
    </row>
    <row r="33" spans="1:3" x14ac:dyDescent="0.2">
      <c r="A33" t="s">
        <v>67</v>
      </c>
      <c r="B33" s="72">
        <f>B30*B31*B32</f>
        <v>8680000</v>
      </c>
    </row>
    <row r="34" spans="1:3" x14ac:dyDescent="0.2">
      <c r="A34" t="s">
        <v>189</v>
      </c>
      <c r="B34" s="74">
        <v>8000000</v>
      </c>
    </row>
    <row r="35" spans="1:3" x14ac:dyDescent="0.2">
      <c r="A35" t="s">
        <v>190</v>
      </c>
      <c r="B35" s="73">
        <f>B34/B5</f>
        <v>444444.44444444444</v>
      </c>
    </row>
    <row r="36" spans="1:3" x14ac:dyDescent="0.2">
      <c r="A36" t="s">
        <v>68</v>
      </c>
      <c r="B36" s="75">
        <f>B33/B35</f>
        <v>19.53</v>
      </c>
    </row>
    <row r="37" spans="1:3" x14ac:dyDescent="0.2">
      <c r="A37" t="s">
        <v>191</v>
      </c>
      <c r="B37" s="76">
        <f>B35/(B30*B31/12)</f>
        <v>4.0962621607782896</v>
      </c>
    </row>
    <row r="38" spans="1:3" x14ac:dyDescent="0.2">
      <c r="A38" t="s">
        <v>192</v>
      </c>
    </row>
    <row r="40" spans="1:3" x14ac:dyDescent="0.2">
      <c r="A40" s="54" t="s">
        <v>193</v>
      </c>
    </row>
    <row r="41" spans="1:3" x14ac:dyDescent="0.2">
      <c r="A41" s="56" t="s">
        <v>194</v>
      </c>
      <c r="B41" s="56" t="s">
        <v>195</v>
      </c>
      <c r="C41" s="56" t="s">
        <v>196</v>
      </c>
    </row>
    <row r="42" spans="1:3" x14ac:dyDescent="0.2">
      <c r="A42" t="s">
        <v>197</v>
      </c>
      <c r="B42" s="77">
        <v>1</v>
      </c>
      <c r="C42" t="s">
        <v>198</v>
      </c>
    </row>
    <row r="43" spans="1:3" x14ac:dyDescent="0.2">
      <c r="A43" t="s">
        <v>199</v>
      </c>
      <c r="B43" s="77">
        <v>1</v>
      </c>
      <c r="C43" t="s">
        <v>200</v>
      </c>
    </row>
    <row r="44" spans="1:3" x14ac:dyDescent="0.2">
      <c r="A44" t="s">
        <v>201</v>
      </c>
      <c r="B44" s="77">
        <v>1</v>
      </c>
      <c r="C44" t="s">
        <v>202</v>
      </c>
    </row>
    <row r="46" spans="1:3" x14ac:dyDescent="0.2">
      <c r="A46" t="s">
        <v>203</v>
      </c>
    </row>
  </sheetData>
  <phoneticPr fontId="18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4"/>
  <sheetViews>
    <sheetView workbookViewId="0"/>
  </sheetViews>
  <sheetFormatPr defaultRowHeight="13" x14ac:dyDescent="0.2"/>
  <cols>
    <col min="1" max="1" width="36" customWidth="1"/>
    <col min="2" max="2" width="18" customWidth="1"/>
    <col min="3" max="3" width="20" customWidth="1"/>
    <col min="4" max="4" width="16" customWidth="1"/>
    <col min="5" max="5" width="46" customWidth="1"/>
  </cols>
  <sheetData>
    <row r="1" spans="1:5" ht="18" x14ac:dyDescent="0.4">
      <c r="A1" s="78" t="s">
        <v>204</v>
      </c>
    </row>
    <row r="3" spans="1:5" x14ac:dyDescent="0.2">
      <c r="A3" s="79" t="s">
        <v>205</v>
      </c>
    </row>
    <row r="4" spans="1:5" x14ac:dyDescent="0.2">
      <c r="A4" t="s">
        <v>94</v>
      </c>
      <c r="B4" s="88">
        <v>12000000</v>
      </c>
    </row>
    <row r="5" spans="1:5" x14ac:dyDescent="0.2">
      <c r="A5" t="s">
        <v>61</v>
      </c>
      <c r="B5" s="89">
        <v>0.62</v>
      </c>
    </row>
    <row r="6" spans="1:5" x14ac:dyDescent="0.2">
      <c r="A6" t="s">
        <v>206</v>
      </c>
      <c r="B6" s="90">
        <f>B4*B5</f>
        <v>7440000</v>
      </c>
    </row>
    <row r="7" spans="1:5" x14ac:dyDescent="0.2">
      <c r="A7" t="s">
        <v>207</v>
      </c>
      <c r="B7" s="91">
        <v>6500000</v>
      </c>
    </row>
    <row r="8" spans="1:5" x14ac:dyDescent="0.2">
      <c r="A8" t="s">
        <v>208</v>
      </c>
      <c r="B8" s="92">
        <f>B6-B7</f>
        <v>940000</v>
      </c>
    </row>
    <row r="9" spans="1:5" x14ac:dyDescent="0.2">
      <c r="A9" t="s">
        <v>62</v>
      </c>
      <c r="B9" s="93">
        <f>B8/B4</f>
        <v>7.8333333333333338E-2</v>
      </c>
    </row>
    <row r="10" spans="1:5" x14ac:dyDescent="0.2">
      <c r="A10" t="s">
        <v>209</v>
      </c>
      <c r="B10" s="94">
        <f>B7/B5</f>
        <v>10483870.967741936</v>
      </c>
    </row>
    <row r="11" spans="1:5" x14ac:dyDescent="0.2">
      <c r="A11" t="s">
        <v>210</v>
      </c>
      <c r="B11" s="95">
        <v>0.2</v>
      </c>
    </row>
    <row r="13" spans="1:5" x14ac:dyDescent="0.2">
      <c r="A13" s="80" t="s">
        <v>211</v>
      </c>
    </row>
    <row r="14" spans="1:5" x14ac:dyDescent="0.2">
      <c r="A14" s="84" t="s">
        <v>212</v>
      </c>
      <c r="B14" s="84" t="s">
        <v>213</v>
      </c>
      <c r="C14" s="84" t="s">
        <v>53</v>
      </c>
      <c r="D14" s="84" t="s">
        <v>214</v>
      </c>
      <c r="E14" s="84" t="s">
        <v>215</v>
      </c>
    </row>
    <row r="15" spans="1:5" x14ac:dyDescent="0.2">
      <c r="A15" t="s">
        <v>216</v>
      </c>
      <c r="B15" s="96">
        <f>B7/(B5-B11)</f>
        <v>15476190.476190478</v>
      </c>
      <c r="C15" s="96">
        <f>B4</f>
        <v>12000000</v>
      </c>
      <c r="D15" s="96">
        <f>B15-C15</f>
        <v>3476190.4761904776</v>
      </c>
      <c r="E15" t="s">
        <v>217</v>
      </c>
    </row>
    <row r="16" spans="1:5" x14ac:dyDescent="0.2">
      <c r="A16" t="s">
        <v>218</v>
      </c>
      <c r="B16" s="97">
        <f>(B11*B4+B7)/B4</f>
        <v>0.7416666666666667</v>
      </c>
      <c r="C16" s="97">
        <f>B5</f>
        <v>0.62</v>
      </c>
      <c r="D16" s="97">
        <f>B16-C16</f>
        <v>0.1216666666666667</v>
      </c>
      <c r="E16" t="s">
        <v>219</v>
      </c>
    </row>
    <row r="17" spans="1:5" x14ac:dyDescent="0.2">
      <c r="A17" t="s">
        <v>220</v>
      </c>
      <c r="B17" s="98">
        <f>B4*(B5-B11)</f>
        <v>5040000</v>
      </c>
      <c r="C17" s="98">
        <f>B7</f>
        <v>6500000</v>
      </c>
      <c r="D17" s="98">
        <f>B17-C17</f>
        <v>-1460000</v>
      </c>
      <c r="E17" t="s">
        <v>221</v>
      </c>
    </row>
    <row r="19" spans="1:5" x14ac:dyDescent="0.2">
      <c r="A19" s="81" t="s">
        <v>222</v>
      </c>
    </row>
    <row r="20" spans="1:5" x14ac:dyDescent="0.2">
      <c r="A20" s="85" t="s">
        <v>223</v>
      </c>
      <c r="B20" s="85" t="s">
        <v>224</v>
      </c>
      <c r="C20" s="85" t="s">
        <v>225</v>
      </c>
    </row>
    <row r="21" spans="1:5" x14ac:dyDescent="0.2">
      <c r="A21" t="s">
        <v>226</v>
      </c>
      <c r="B21" s="99">
        <v>14000000</v>
      </c>
      <c r="C21" t="s">
        <v>227</v>
      </c>
    </row>
    <row r="22" spans="1:5" x14ac:dyDescent="0.2">
      <c r="A22" t="s">
        <v>61</v>
      </c>
      <c r="B22" s="100">
        <v>0.68</v>
      </c>
      <c r="C22" t="s">
        <v>228</v>
      </c>
    </row>
    <row r="23" spans="1:5" x14ac:dyDescent="0.2">
      <c r="A23" t="s">
        <v>229</v>
      </c>
      <c r="B23" s="101">
        <v>6200000</v>
      </c>
      <c r="C23" t="s">
        <v>230</v>
      </c>
    </row>
    <row r="24" spans="1:5" x14ac:dyDescent="0.2">
      <c r="A24" t="s">
        <v>208</v>
      </c>
      <c r="B24" s="102">
        <f>B21*B22-B23</f>
        <v>3320000</v>
      </c>
    </row>
    <row r="25" spans="1:5" x14ac:dyDescent="0.2">
      <c r="A25" t="s">
        <v>62</v>
      </c>
      <c r="B25" s="103">
        <f>B24/B21</f>
        <v>0.23714285714285716</v>
      </c>
    </row>
    <row r="26" spans="1:5" x14ac:dyDescent="0.2">
      <c r="A26" t="s">
        <v>231</v>
      </c>
      <c r="B26" s="104">
        <f>B24-B8</f>
        <v>2380000</v>
      </c>
    </row>
    <row r="28" spans="1:5" x14ac:dyDescent="0.2">
      <c r="A28" s="82" t="s">
        <v>232</v>
      </c>
    </row>
    <row r="29" spans="1:5" x14ac:dyDescent="0.2">
      <c r="A29" s="86" t="s">
        <v>223</v>
      </c>
      <c r="B29" s="86" t="s">
        <v>233</v>
      </c>
      <c r="C29" s="86" t="s">
        <v>152</v>
      </c>
    </row>
    <row r="30" spans="1:5" x14ac:dyDescent="0.2">
      <c r="A30" t="s">
        <v>234</v>
      </c>
      <c r="B30" s="106">
        <v>48000000</v>
      </c>
      <c r="C30" s="107">
        <f>B30/$B$35</f>
        <v>0.61538461538461542</v>
      </c>
    </row>
    <row r="31" spans="1:5" x14ac:dyDescent="0.2">
      <c r="A31" t="s">
        <v>235</v>
      </c>
      <c r="B31" s="106">
        <v>6000000</v>
      </c>
      <c r="C31" s="107">
        <f>B31/$B$35</f>
        <v>7.6923076923076927E-2</v>
      </c>
    </row>
    <row r="32" spans="1:5" x14ac:dyDescent="0.2">
      <c r="A32" t="s">
        <v>236</v>
      </c>
      <c r="B32" s="106">
        <v>7000000</v>
      </c>
      <c r="C32" s="107">
        <f>B32/$B$35</f>
        <v>8.9743589743589744E-2</v>
      </c>
    </row>
    <row r="33" spans="1:3" x14ac:dyDescent="0.2">
      <c r="A33" t="s">
        <v>237</v>
      </c>
      <c r="B33" s="106">
        <v>8000000</v>
      </c>
      <c r="C33" s="107">
        <f>B33/$B$35</f>
        <v>0.10256410256410256</v>
      </c>
    </row>
    <row r="34" spans="1:3" x14ac:dyDescent="0.2">
      <c r="A34" t="s">
        <v>238</v>
      </c>
      <c r="B34" s="106">
        <v>9000000</v>
      </c>
      <c r="C34" s="107">
        <f>B34/$B$35</f>
        <v>0.11538461538461539</v>
      </c>
    </row>
    <row r="35" spans="1:3" x14ac:dyDescent="0.2">
      <c r="A35" s="87" t="s">
        <v>159</v>
      </c>
      <c r="B35" s="105">
        <f>SUM(B30:B34)</f>
        <v>78000000</v>
      </c>
      <c r="C35" s="107">
        <f>SUM(C30:C34)</f>
        <v>1</v>
      </c>
    </row>
    <row r="37" spans="1:3" x14ac:dyDescent="0.2">
      <c r="A37" s="83" t="s">
        <v>239</v>
      </c>
    </row>
    <row r="38" spans="1:3" x14ac:dyDescent="0.2">
      <c r="A38" t="s">
        <v>69</v>
      </c>
      <c r="B38" s="109">
        <v>42000000</v>
      </c>
    </row>
    <row r="39" spans="1:3" x14ac:dyDescent="0.2">
      <c r="A39" t="s">
        <v>240</v>
      </c>
      <c r="B39" s="108">
        <f>B7</f>
        <v>6500000</v>
      </c>
    </row>
    <row r="40" spans="1:3" x14ac:dyDescent="0.2">
      <c r="A40" t="s">
        <v>241</v>
      </c>
      <c r="B40" s="110">
        <f>B38/B39</f>
        <v>6.4615384615384617</v>
      </c>
    </row>
    <row r="41" spans="1:3" x14ac:dyDescent="0.2">
      <c r="A41" t="s">
        <v>70</v>
      </c>
      <c r="B41" s="111">
        <f>B8</f>
        <v>940000</v>
      </c>
    </row>
    <row r="42" spans="1:3" x14ac:dyDescent="0.2">
      <c r="A42" t="s">
        <v>242</v>
      </c>
      <c r="B42" s="112">
        <f>B38/B35</f>
        <v>0.53846153846153844</v>
      </c>
    </row>
    <row r="43" spans="1:3" x14ac:dyDescent="0.2">
      <c r="A43" t="s">
        <v>243</v>
      </c>
    </row>
    <row r="44" spans="1:3" x14ac:dyDescent="0.2">
      <c r="A44" t="s">
        <v>244</v>
      </c>
    </row>
  </sheetData>
  <phoneticPr fontId="186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/>
  </sheetViews>
  <sheetFormatPr defaultRowHeight="13" x14ac:dyDescent="0.2"/>
  <cols>
    <col min="1" max="1" width="40" customWidth="1"/>
    <col min="2" max="2" width="20" customWidth="1"/>
    <col min="3" max="3" width="18" customWidth="1"/>
    <col min="4" max="4" width="20" customWidth="1"/>
  </cols>
  <sheetData>
    <row r="1" spans="1:3" ht="18" x14ac:dyDescent="0.4">
      <c r="A1" s="113" t="s">
        <v>245</v>
      </c>
    </row>
    <row r="3" spans="1:3" x14ac:dyDescent="0.2">
      <c r="A3" s="114" t="s">
        <v>246</v>
      </c>
    </row>
    <row r="4" spans="1:3" x14ac:dyDescent="0.2">
      <c r="A4" t="s">
        <v>247</v>
      </c>
      <c r="B4" s="120">
        <v>0.4</v>
      </c>
    </row>
    <row r="5" spans="1:3" x14ac:dyDescent="0.2">
      <c r="A5" t="s">
        <v>248</v>
      </c>
      <c r="B5" s="120">
        <v>0.35</v>
      </c>
    </row>
    <row r="6" spans="1:3" x14ac:dyDescent="0.2">
      <c r="A6" t="s">
        <v>249</v>
      </c>
      <c r="B6" s="121">
        <v>12</v>
      </c>
    </row>
    <row r="7" spans="1:3" x14ac:dyDescent="0.2">
      <c r="A7" t="s">
        <v>250</v>
      </c>
      <c r="B7" s="122">
        <f>'2_売上'!B22/B6</f>
        <v>12000000</v>
      </c>
    </row>
    <row r="8" spans="1:3" x14ac:dyDescent="0.2">
      <c r="A8" t="s">
        <v>251</v>
      </c>
      <c r="B8" s="122">
        <f>'2_売上'!B22*'5_財務'!B5/B6</f>
        <v>7440000</v>
      </c>
    </row>
    <row r="9" spans="1:3" x14ac:dyDescent="0.2">
      <c r="A9" t="s">
        <v>252</v>
      </c>
    </row>
    <row r="11" spans="1:3" x14ac:dyDescent="0.2">
      <c r="A11" s="115" t="s">
        <v>253</v>
      </c>
    </row>
    <row r="12" spans="1:3" x14ac:dyDescent="0.2">
      <c r="A12" s="118" t="s">
        <v>254</v>
      </c>
      <c r="B12" s="118" t="s">
        <v>255</v>
      </c>
      <c r="C12" s="118" t="s">
        <v>256</v>
      </c>
    </row>
    <row r="13" spans="1:3" x14ac:dyDescent="0.2">
      <c r="A13" t="s">
        <v>257</v>
      </c>
      <c r="B13" s="123">
        <v>15</v>
      </c>
    </row>
    <row r="14" spans="1:3" x14ac:dyDescent="0.2">
      <c r="A14" t="s">
        <v>258</v>
      </c>
      <c r="B14" s="123">
        <v>5</v>
      </c>
      <c r="C14" s="124">
        <f>B14/B13</f>
        <v>0.33333333333333331</v>
      </c>
    </row>
    <row r="15" spans="1:3" x14ac:dyDescent="0.2">
      <c r="A15" t="s">
        <v>259</v>
      </c>
      <c r="B15" s="123">
        <v>4</v>
      </c>
      <c r="C15" s="124">
        <f>B15/B14</f>
        <v>0.8</v>
      </c>
    </row>
    <row r="16" spans="1:3" x14ac:dyDescent="0.2">
      <c r="A16" t="s">
        <v>260</v>
      </c>
      <c r="B16" s="123">
        <v>0.5</v>
      </c>
      <c r="C16" s="124">
        <f>B16/B15</f>
        <v>0.125</v>
      </c>
    </row>
    <row r="17" spans="1:2" x14ac:dyDescent="0.2">
      <c r="A17" t="s">
        <v>261</v>
      </c>
      <c r="B17" s="125">
        <f>B16/B13</f>
        <v>3.3333333333333333E-2</v>
      </c>
    </row>
    <row r="18" spans="1:2" x14ac:dyDescent="0.2">
      <c r="A18" t="s">
        <v>262</v>
      </c>
      <c r="B18" s="126">
        <v>4</v>
      </c>
    </row>
    <row r="19" spans="1:2" x14ac:dyDescent="0.2">
      <c r="A19" t="s">
        <v>263</v>
      </c>
      <c r="B19" s="127">
        <f>B18/B17</f>
        <v>120</v>
      </c>
    </row>
    <row r="20" spans="1:2" x14ac:dyDescent="0.2">
      <c r="A20" t="s">
        <v>264</v>
      </c>
      <c r="B20" s="127">
        <f>B19/B13</f>
        <v>8</v>
      </c>
    </row>
    <row r="21" spans="1:2" x14ac:dyDescent="0.2">
      <c r="A21" t="s">
        <v>265</v>
      </c>
    </row>
    <row r="23" spans="1:2" x14ac:dyDescent="0.2">
      <c r="A23" s="116" t="s">
        <v>266</v>
      </c>
    </row>
    <row r="24" spans="1:2" x14ac:dyDescent="0.2">
      <c r="A24" t="s">
        <v>267</v>
      </c>
      <c r="B24" s="128">
        <v>2400</v>
      </c>
    </row>
    <row r="25" spans="1:2" x14ac:dyDescent="0.2">
      <c r="A25" t="s">
        <v>268</v>
      </c>
      <c r="B25" s="128">
        <v>2050</v>
      </c>
    </row>
    <row r="26" spans="1:2" x14ac:dyDescent="0.2">
      <c r="A26" t="s">
        <v>269</v>
      </c>
      <c r="B26" s="129">
        <f>B24-B25</f>
        <v>350</v>
      </c>
    </row>
    <row r="27" spans="1:2" x14ac:dyDescent="0.2">
      <c r="A27" t="s">
        <v>270</v>
      </c>
      <c r="B27" s="130">
        <f>B26/B24</f>
        <v>0.14583333333333334</v>
      </c>
    </row>
    <row r="28" spans="1:2" x14ac:dyDescent="0.2">
      <c r="A28" t="s">
        <v>271</v>
      </c>
      <c r="B28" s="131">
        <v>80</v>
      </c>
    </row>
    <row r="29" spans="1:2" x14ac:dyDescent="0.2">
      <c r="A29" t="s">
        <v>272</v>
      </c>
      <c r="B29" s="132">
        <f>B28/B26</f>
        <v>0.22857142857142856</v>
      </c>
    </row>
    <row r="30" spans="1:2" x14ac:dyDescent="0.2">
      <c r="A30" t="s">
        <v>273</v>
      </c>
      <c r="B30" s="133">
        <f>B26-B28</f>
        <v>270</v>
      </c>
    </row>
    <row r="31" spans="1:2" x14ac:dyDescent="0.2">
      <c r="A31" t="s">
        <v>274</v>
      </c>
      <c r="B31" s="134">
        <v>48000000</v>
      </c>
    </row>
    <row r="32" spans="1:2" x14ac:dyDescent="0.2">
      <c r="A32" t="s">
        <v>275</v>
      </c>
      <c r="B32" s="135">
        <f>B31/12/B25</f>
        <v>1951.219512195122</v>
      </c>
    </row>
    <row r="33" spans="1:4" x14ac:dyDescent="0.2">
      <c r="A33" t="s">
        <v>276</v>
      </c>
      <c r="B33" s="135">
        <f>B30*B32</f>
        <v>526829.26829268294</v>
      </c>
    </row>
    <row r="35" spans="1:4" x14ac:dyDescent="0.2">
      <c r="A35" s="117" t="s">
        <v>277</v>
      </c>
    </row>
    <row r="36" spans="1:4" x14ac:dyDescent="0.2">
      <c r="A36" s="119" t="s">
        <v>278</v>
      </c>
      <c r="B36" s="119" t="s">
        <v>279</v>
      </c>
      <c r="C36" s="119" t="s">
        <v>280</v>
      </c>
      <c r="D36" s="119" t="s">
        <v>281</v>
      </c>
    </row>
    <row r="37" spans="1:4" x14ac:dyDescent="0.2">
      <c r="A37" s="136">
        <v>0.4</v>
      </c>
      <c r="B37" s="137">
        <f>$B$26*A37</f>
        <v>140</v>
      </c>
      <c r="C37" s="137">
        <f>B37-$B$28</f>
        <v>60</v>
      </c>
      <c r="D37" s="138">
        <f>C37*$B$32</f>
        <v>117073.17073170732</v>
      </c>
    </row>
    <row r="38" spans="1:4" x14ac:dyDescent="0.2">
      <c r="A38" s="136">
        <v>0.6</v>
      </c>
      <c r="B38" s="137">
        <f>$B$26*A38</f>
        <v>210</v>
      </c>
      <c r="C38" s="137">
        <f>B38-$B$28</f>
        <v>130</v>
      </c>
      <c r="D38" s="138">
        <f>C38*$B$32</f>
        <v>253658.53658536586</v>
      </c>
    </row>
    <row r="39" spans="1:4" x14ac:dyDescent="0.2">
      <c r="A39" s="136">
        <v>1</v>
      </c>
      <c r="B39" s="137">
        <f>$B$26*A39</f>
        <v>350</v>
      </c>
      <c r="C39" s="137">
        <f>B39-$B$28</f>
        <v>270</v>
      </c>
      <c r="D39" s="138">
        <f>C39*$B$32</f>
        <v>526829.26829268294</v>
      </c>
    </row>
    <row r="41" spans="1:4" x14ac:dyDescent="0.2">
      <c r="A41" t="s">
        <v>282</v>
      </c>
    </row>
    <row r="42" spans="1:4" x14ac:dyDescent="0.2">
      <c r="A42" t="s">
        <v>283</v>
      </c>
    </row>
  </sheetData>
  <phoneticPr fontId="18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workbookViewId="0"/>
  </sheetViews>
  <sheetFormatPr defaultRowHeight="13" x14ac:dyDescent="0.2"/>
  <cols>
    <col min="1" max="1" width="34" customWidth="1"/>
    <col min="2" max="2" width="14" customWidth="1"/>
    <col min="3" max="3" width="52" customWidth="1"/>
    <col min="4" max="4" width="18" customWidth="1"/>
    <col min="5" max="5" width="10" customWidth="1"/>
    <col min="6" max="6" width="20" customWidth="1"/>
    <col min="7" max="7" width="34" customWidth="1"/>
    <col min="8" max="9" width="10" customWidth="1"/>
  </cols>
  <sheetData>
    <row r="1" spans="1:9" ht="18" x14ac:dyDescent="0.4">
      <c r="A1" s="139" t="s">
        <v>284</v>
      </c>
    </row>
    <row r="3" spans="1:9" x14ac:dyDescent="0.2">
      <c r="A3" s="140" t="s">
        <v>285</v>
      </c>
    </row>
    <row r="4" spans="1:9" ht="26" x14ac:dyDescent="0.2">
      <c r="A4" s="142" t="s">
        <v>286</v>
      </c>
      <c r="B4" s="142" t="s">
        <v>287</v>
      </c>
      <c r="C4" s="142" t="s">
        <v>288</v>
      </c>
      <c r="D4" s="142" t="s">
        <v>289</v>
      </c>
      <c r="E4" s="142" t="s">
        <v>290</v>
      </c>
      <c r="F4" s="142" t="s">
        <v>291</v>
      </c>
      <c r="G4" s="142" t="s">
        <v>292</v>
      </c>
      <c r="H4" s="142" t="s">
        <v>159</v>
      </c>
      <c r="I4" s="142" t="s">
        <v>293</v>
      </c>
    </row>
    <row r="5" spans="1:9" x14ac:dyDescent="0.2">
      <c r="A5" t="s">
        <v>294</v>
      </c>
      <c r="B5" s="143">
        <v>20</v>
      </c>
      <c r="C5" s="143">
        <v>18</v>
      </c>
      <c r="D5" s="143">
        <v>18</v>
      </c>
      <c r="E5" s="143">
        <v>13</v>
      </c>
      <c r="F5" s="143">
        <v>6</v>
      </c>
      <c r="G5" s="143">
        <v>12</v>
      </c>
      <c r="H5" s="144">
        <f t="shared" ref="H5:H11" si="0">SUM(B5:G5)</f>
        <v>87</v>
      </c>
      <c r="I5" s="144" t="str">
        <f t="shared" ref="I5:I11" si="1">IF(H5&gt;=80,"A",IF(H5&gt;=65,"B","C"))</f>
        <v>A</v>
      </c>
    </row>
    <row r="6" spans="1:9" x14ac:dyDescent="0.2">
      <c r="A6" t="s">
        <v>295</v>
      </c>
      <c r="B6" s="143">
        <v>15</v>
      </c>
      <c r="C6" s="143">
        <v>20</v>
      </c>
      <c r="D6" s="143">
        <v>18</v>
      </c>
      <c r="E6" s="143">
        <v>12</v>
      </c>
      <c r="F6" s="143">
        <v>5</v>
      </c>
      <c r="G6" s="143">
        <v>14</v>
      </c>
      <c r="H6" s="144">
        <f t="shared" si="0"/>
        <v>84</v>
      </c>
      <c r="I6" s="144" t="str">
        <f t="shared" si="1"/>
        <v>A</v>
      </c>
    </row>
    <row r="7" spans="1:9" x14ac:dyDescent="0.2">
      <c r="A7" t="s">
        <v>296</v>
      </c>
      <c r="B7" s="143">
        <v>16</v>
      </c>
      <c r="C7" s="143">
        <v>14</v>
      </c>
      <c r="D7" s="143">
        <v>17</v>
      </c>
      <c r="E7" s="143">
        <v>10</v>
      </c>
      <c r="F7" s="143">
        <v>7</v>
      </c>
      <c r="G7" s="143">
        <v>15</v>
      </c>
      <c r="H7" s="144">
        <f t="shared" si="0"/>
        <v>79</v>
      </c>
      <c r="I7" s="144" t="str">
        <f t="shared" si="1"/>
        <v>B</v>
      </c>
    </row>
    <row r="8" spans="1:9" x14ac:dyDescent="0.2">
      <c r="A8" t="s">
        <v>297</v>
      </c>
      <c r="B8" s="143">
        <v>14</v>
      </c>
      <c r="C8" s="143">
        <v>15</v>
      </c>
      <c r="D8" s="143">
        <v>15</v>
      </c>
      <c r="E8" s="143">
        <v>12</v>
      </c>
      <c r="F8" s="143">
        <v>10</v>
      </c>
      <c r="G8" s="143">
        <v>11</v>
      </c>
      <c r="H8" s="144">
        <f t="shared" si="0"/>
        <v>77</v>
      </c>
      <c r="I8" s="144" t="str">
        <f t="shared" si="1"/>
        <v>B</v>
      </c>
    </row>
    <row r="9" spans="1:9" x14ac:dyDescent="0.2">
      <c r="A9" t="s">
        <v>83</v>
      </c>
      <c r="B9" s="143">
        <v>15</v>
      </c>
      <c r="C9" s="143">
        <v>16</v>
      </c>
      <c r="D9" s="143">
        <v>12</v>
      </c>
      <c r="E9" s="143">
        <v>12</v>
      </c>
      <c r="F9" s="143">
        <v>5</v>
      </c>
      <c r="G9" s="143">
        <v>8</v>
      </c>
      <c r="H9" s="144">
        <f t="shared" si="0"/>
        <v>68</v>
      </c>
      <c r="I9" s="144" t="str">
        <f t="shared" si="1"/>
        <v>B</v>
      </c>
    </row>
    <row r="10" spans="1:9" x14ac:dyDescent="0.2">
      <c r="A10" t="s">
        <v>298</v>
      </c>
      <c r="B10" s="143">
        <v>16</v>
      </c>
      <c r="C10" s="143">
        <v>12</v>
      </c>
      <c r="D10" s="143">
        <v>14</v>
      </c>
      <c r="E10" s="143">
        <v>8</v>
      </c>
      <c r="F10" s="143">
        <v>6</v>
      </c>
      <c r="G10" s="143">
        <v>12</v>
      </c>
      <c r="H10" s="144">
        <f t="shared" si="0"/>
        <v>68</v>
      </c>
      <c r="I10" s="144" t="str">
        <f t="shared" si="1"/>
        <v>B</v>
      </c>
    </row>
    <row r="11" spans="1:9" x14ac:dyDescent="0.2">
      <c r="A11" t="s">
        <v>299</v>
      </c>
      <c r="B11" s="143">
        <v>10</v>
      </c>
      <c r="C11" s="143">
        <v>10</v>
      </c>
      <c r="D11" s="143">
        <v>8</v>
      </c>
      <c r="E11" s="143">
        <v>10</v>
      </c>
      <c r="F11" s="143">
        <v>9</v>
      </c>
      <c r="G11" s="143">
        <v>12</v>
      </c>
      <c r="H11" s="144">
        <f t="shared" si="0"/>
        <v>59</v>
      </c>
      <c r="I11" s="144" t="str">
        <f t="shared" si="1"/>
        <v>C</v>
      </c>
    </row>
    <row r="13" spans="1:9" x14ac:dyDescent="0.2">
      <c r="A13" s="141" t="s">
        <v>300</v>
      </c>
    </row>
    <row r="14" spans="1:9" x14ac:dyDescent="0.2">
      <c r="A14" t="s">
        <v>293</v>
      </c>
      <c r="B14" t="s">
        <v>72</v>
      </c>
      <c r="C14" t="s">
        <v>301</v>
      </c>
      <c r="D14" t="s">
        <v>302</v>
      </c>
      <c r="E14" t="s">
        <v>303</v>
      </c>
      <c r="F14" t="s">
        <v>304</v>
      </c>
      <c r="G14" t="s">
        <v>305</v>
      </c>
    </row>
    <row r="15" spans="1:9" x14ac:dyDescent="0.2">
      <c r="A15" t="s">
        <v>306</v>
      </c>
      <c r="B15" t="s">
        <v>59</v>
      </c>
      <c r="C15" t="s">
        <v>307</v>
      </c>
      <c r="D15" t="s">
        <v>308</v>
      </c>
      <c r="E15" t="s">
        <v>309</v>
      </c>
      <c r="F15" t="s">
        <v>310</v>
      </c>
      <c r="G15" t="s">
        <v>311</v>
      </c>
    </row>
    <row r="16" spans="1:9" x14ac:dyDescent="0.2">
      <c r="A16" t="s">
        <v>306</v>
      </c>
      <c r="B16" t="s">
        <v>59</v>
      </c>
      <c r="C16" t="s">
        <v>312</v>
      </c>
      <c r="D16" t="s">
        <v>313</v>
      </c>
      <c r="E16" t="s">
        <v>314</v>
      </c>
      <c r="F16" t="s">
        <v>315</v>
      </c>
      <c r="G16" t="s">
        <v>316</v>
      </c>
    </row>
    <row r="17" spans="1:7" x14ac:dyDescent="0.2">
      <c r="A17" t="s">
        <v>306</v>
      </c>
      <c r="B17" t="s">
        <v>62</v>
      </c>
      <c r="C17" t="s">
        <v>317</v>
      </c>
      <c r="D17" t="s">
        <v>318</v>
      </c>
      <c r="E17" t="s">
        <v>309</v>
      </c>
      <c r="F17" t="s">
        <v>319</v>
      </c>
      <c r="G17" t="s">
        <v>320</v>
      </c>
    </row>
    <row r="18" spans="1:7" x14ac:dyDescent="0.2">
      <c r="A18" t="s">
        <v>306</v>
      </c>
      <c r="B18" t="s">
        <v>62</v>
      </c>
      <c r="C18" t="s">
        <v>321</v>
      </c>
      <c r="D18" t="s">
        <v>313</v>
      </c>
      <c r="E18" t="s">
        <v>322</v>
      </c>
      <c r="F18" t="s">
        <v>323</v>
      </c>
      <c r="G18" t="s">
        <v>324</v>
      </c>
    </row>
    <row r="19" spans="1:7" x14ac:dyDescent="0.2">
      <c r="A19" t="s">
        <v>306</v>
      </c>
      <c r="B19" t="s">
        <v>325</v>
      </c>
      <c r="C19" t="s">
        <v>326</v>
      </c>
      <c r="D19" t="s">
        <v>318</v>
      </c>
      <c r="E19" t="s">
        <v>309</v>
      </c>
      <c r="F19" t="s">
        <v>327</v>
      </c>
      <c r="G19" t="s">
        <v>328</v>
      </c>
    </row>
    <row r="20" spans="1:7" x14ac:dyDescent="0.2">
      <c r="A20" t="s">
        <v>329</v>
      </c>
      <c r="B20" t="s">
        <v>60</v>
      </c>
      <c r="C20" t="s">
        <v>330</v>
      </c>
      <c r="D20" t="s">
        <v>331</v>
      </c>
      <c r="E20" t="s">
        <v>314</v>
      </c>
      <c r="F20" t="s">
        <v>332</v>
      </c>
      <c r="G20" t="s">
        <v>333</v>
      </c>
    </row>
    <row r="21" spans="1:7" x14ac:dyDescent="0.2">
      <c r="A21" t="s">
        <v>329</v>
      </c>
      <c r="B21" t="s">
        <v>60</v>
      </c>
      <c r="C21" t="s">
        <v>334</v>
      </c>
      <c r="D21" t="s">
        <v>331</v>
      </c>
      <c r="E21" t="s">
        <v>322</v>
      </c>
      <c r="F21" t="s">
        <v>335</v>
      </c>
      <c r="G21" t="s">
        <v>336</v>
      </c>
    </row>
    <row r="22" spans="1:7" x14ac:dyDescent="0.2">
      <c r="A22" t="s">
        <v>329</v>
      </c>
      <c r="B22" t="s">
        <v>337</v>
      </c>
      <c r="C22" t="s">
        <v>338</v>
      </c>
      <c r="D22" t="s">
        <v>339</v>
      </c>
      <c r="E22" t="s">
        <v>314</v>
      </c>
      <c r="F22" t="s">
        <v>340</v>
      </c>
      <c r="G22" t="s">
        <v>341</v>
      </c>
    </row>
    <row r="23" spans="1:7" x14ac:dyDescent="0.2">
      <c r="A23" t="s">
        <v>329</v>
      </c>
      <c r="B23" t="s">
        <v>260</v>
      </c>
      <c r="C23" t="s">
        <v>342</v>
      </c>
      <c r="D23" t="s">
        <v>343</v>
      </c>
      <c r="E23" t="s">
        <v>322</v>
      </c>
      <c r="F23" t="s">
        <v>344</v>
      </c>
      <c r="G23" t="s">
        <v>345</v>
      </c>
    </row>
    <row r="24" spans="1:7" x14ac:dyDescent="0.2">
      <c r="A24" t="s">
        <v>346</v>
      </c>
      <c r="B24" t="s">
        <v>347</v>
      </c>
      <c r="C24" t="s">
        <v>348</v>
      </c>
      <c r="D24" t="s">
        <v>308</v>
      </c>
      <c r="E24" t="s">
        <v>322</v>
      </c>
      <c r="F24" t="s">
        <v>349</v>
      </c>
      <c r="G24" t="s">
        <v>350</v>
      </c>
    </row>
    <row r="26" spans="1:7" x14ac:dyDescent="0.2">
      <c r="A26" t="s">
        <v>351</v>
      </c>
    </row>
  </sheetData>
  <phoneticPr fontId="186"/>
  <conditionalFormatting sqref="H5:H11">
    <cfRule type="cellIs" dxfId="0" priority="1" operator="greaterThanOrEqual">
      <formula>80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/>
  </sheetViews>
  <sheetFormatPr defaultRowHeight="13" x14ac:dyDescent="0.2"/>
  <cols>
    <col min="1" max="1" width="40" customWidth="1"/>
    <col min="2" max="2" width="20" customWidth="1"/>
    <col min="3" max="3" width="18" customWidth="1"/>
    <col min="4" max="4" width="60" customWidth="1"/>
    <col min="5" max="6" width="18" customWidth="1"/>
    <col min="7" max="7" width="14" customWidth="1"/>
    <col min="8" max="8" width="12" customWidth="1"/>
  </cols>
  <sheetData>
    <row r="1" spans="1:8" ht="18" x14ac:dyDescent="0.4">
      <c r="A1" s="145" t="s">
        <v>352</v>
      </c>
    </row>
    <row r="3" spans="1:8" x14ac:dyDescent="0.2">
      <c r="A3" s="146" t="s">
        <v>353</v>
      </c>
    </row>
    <row r="4" spans="1:8" x14ac:dyDescent="0.2">
      <c r="A4" s="150" t="s">
        <v>354</v>
      </c>
      <c r="B4" s="150" t="s">
        <v>94</v>
      </c>
      <c r="C4" s="150" t="s">
        <v>61</v>
      </c>
      <c r="D4" s="150" t="s">
        <v>206</v>
      </c>
      <c r="E4" s="150" t="s">
        <v>207</v>
      </c>
      <c r="F4" s="150" t="s">
        <v>208</v>
      </c>
      <c r="G4" s="150" t="s">
        <v>62</v>
      </c>
      <c r="H4" s="150" t="s">
        <v>355</v>
      </c>
    </row>
    <row r="5" spans="1:8" x14ac:dyDescent="0.2">
      <c r="A5" t="s">
        <v>356</v>
      </c>
      <c r="B5" s="154">
        <f>'2_売上'!C27</f>
        <v>142875662.61646196</v>
      </c>
      <c r="C5" s="155">
        <v>0.62</v>
      </c>
      <c r="D5" s="157">
        <f>B5*C5</f>
        <v>88582910.822206423</v>
      </c>
      <c r="E5" s="158">
        <v>78000000</v>
      </c>
      <c r="F5" s="161">
        <f>D5-E5</f>
        <v>10582910.822206423</v>
      </c>
      <c r="G5" s="161">
        <f>F5/B5</f>
        <v>7.4070773345180432E-2</v>
      </c>
      <c r="H5" s="160"/>
    </row>
    <row r="6" spans="1:8" x14ac:dyDescent="0.2">
      <c r="A6" t="s">
        <v>357</v>
      </c>
      <c r="B6" s="153">
        <v>220000000</v>
      </c>
      <c r="C6" s="156">
        <v>0.66</v>
      </c>
      <c r="D6" s="157">
        <f>B6*C6</f>
        <v>145200000</v>
      </c>
      <c r="E6" s="159">
        <v>105000000</v>
      </c>
      <c r="F6" s="161">
        <f>D6-E6</f>
        <v>40200000</v>
      </c>
      <c r="G6" s="161">
        <f>F6/B6</f>
        <v>0.18272727272727274</v>
      </c>
      <c r="H6" s="160">
        <f>B6/B5-1</f>
        <v>0.53980038287256815</v>
      </c>
    </row>
    <row r="7" spans="1:8" x14ac:dyDescent="0.2">
      <c r="A7" t="s">
        <v>358</v>
      </c>
      <c r="B7" s="153">
        <v>320000000</v>
      </c>
      <c r="C7" s="156">
        <v>0.68</v>
      </c>
      <c r="D7" s="157">
        <f>B7*C7</f>
        <v>217600000.00000003</v>
      </c>
      <c r="E7" s="159">
        <v>140000000</v>
      </c>
      <c r="F7" s="161">
        <f>D7-E7</f>
        <v>77600000.00000003</v>
      </c>
      <c r="G7" s="161">
        <f>F7/B7</f>
        <v>0.2425000000000001</v>
      </c>
      <c r="H7" s="160">
        <f>B7/B6-1</f>
        <v>0.45454545454545459</v>
      </c>
    </row>
    <row r="9" spans="1:8" x14ac:dyDescent="0.2">
      <c r="A9" s="147" t="s">
        <v>359</v>
      </c>
    </row>
    <row r="10" spans="1:8" x14ac:dyDescent="0.2">
      <c r="A10" t="s">
        <v>360</v>
      </c>
      <c r="B10" t="s">
        <v>361</v>
      </c>
    </row>
    <row r="11" spans="1:8" x14ac:dyDescent="0.2">
      <c r="A11" t="s">
        <v>362</v>
      </c>
      <c r="B11" t="s">
        <v>363</v>
      </c>
    </row>
    <row r="12" spans="1:8" x14ac:dyDescent="0.2">
      <c r="A12" t="s">
        <v>364</v>
      </c>
      <c r="B12" t="s">
        <v>365</v>
      </c>
    </row>
    <row r="13" spans="1:8" x14ac:dyDescent="0.2">
      <c r="A13" t="s">
        <v>366</v>
      </c>
      <c r="B13" t="s">
        <v>367</v>
      </c>
    </row>
    <row r="14" spans="1:8" x14ac:dyDescent="0.2">
      <c r="A14" t="s">
        <v>368</v>
      </c>
      <c r="B14" t="s">
        <v>369</v>
      </c>
    </row>
    <row r="16" spans="1:8" x14ac:dyDescent="0.2">
      <c r="A16" s="148" t="s">
        <v>370</v>
      </c>
    </row>
    <row r="17" spans="1:4" x14ac:dyDescent="0.2">
      <c r="A17" s="151" t="s">
        <v>371</v>
      </c>
      <c r="B17" s="151" t="s">
        <v>372</v>
      </c>
      <c r="C17" s="151" t="s">
        <v>152</v>
      </c>
      <c r="D17" s="151" t="s">
        <v>373</v>
      </c>
    </row>
    <row r="18" spans="1:4" x14ac:dyDescent="0.2">
      <c r="A18" t="s">
        <v>374</v>
      </c>
      <c r="B18" s="162">
        <v>48000000</v>
      </c>
      <c r="C18" s="163">
        <f>B18/$B$23</f>
        <v>0.48</v>
      </c>
      <c r="D18" t="s">
        <v>375</v>
      </c>
    </row>
    <row r="19" spans="1:4" x14ac:dyDescent="0.2">
      <c r="A19" t="s">
        <v>376</v>
      </c>
      <c r="B19" s="162">
        <v>18000000</v>
      </c>
      <c r="C19" s="163">
        <f>B19/$B$23</f>
        <v>0.18</v>
      </c>
      <c r="D19" t="s">
        <v>377</v>
      </c>
    </row>
    <row r="20" spans="1:4" x14ac:dyDescent="0.2">
      <c r="A20" t="s">
        <v>378</v>
      </c>
      <c r="B20" s="162">
        <v>16000000</v>
      </c>
      <c r="C20" s="163">
        <f>B20/$B$23</f>
        <v>0.16</v>
      </c>
      <c r="D20" t="s">
        <v>379</v>
      </c>
    </row>
    <row r="21" spans="1:4" x14ac:dyDescent="0.2">
      <c r="A21" t="s">
        <v>380</v>
      </c>
      <c r="B21" s="162">
        <v>10000000</v>
      </c>
      <c r="C21" s="163">
        <f>B21/$B$23</f>
        <v>0.1</v>
      </c>
      <c r="D21" t="s">
        <v>381</v>
      </c>
    </row>
    <row r="22" spans="1:4" x14ac:dyDescent="0.2">
      <c r="A22" t="s">
        <v>382</v>
      </c>
      <c r="B22" s="162">
        <v>8000000</v>
      </c>
      <c r="C22" s="163">
        <f>B22/$B$23</f>
        <v>0.08</v>
      </c>
      <c r="D22" t="s">
        <v>383</v>
      </c>
    </row>
    <row r="23" spans="1:4" x14ac:dyDescent="0.2">
      <c r="A23" s="164" t="s">
        <v>384</v>
      </c>
      <c r="B23" s="164">
        <f>SUM(B18:B22)</f>
        <v>100000000</v>
      </c>
      <c r="C23" s="164">
        <f>SUM(C18:C22)</f>
        <v>0.99999999999999989</v>
      </c>
    </row>
    <row r="25" spans="1:4" x14ac:dyDescent="0.2">
      <c r="A25" s="149" t="s">
        <v>385</v>
      </c>
    </row>
    <row r="26" spans="1:4" x14ac:dyDescent="0.2">
      <c r="A26" s="152" t="s">
        <v>304</v>
      </c>
      <c r="B26" s="152" t="s">
        <v>53</v>
      </c>
      <c r="C26" s="152" t="s">
        <v>386</v>
      </c>
    </row>
    <row r="27" spans="1:4" x14ac:dyDescent="0.2">
      <c r="A27" t="s">
        <v>59</v>
      </c>
      <c r="B27" s="165">
        <f>'3_営業KPI'!B9</f>
        <v>0.21428571428571427</v>
      </c>
      <c r="C27" s="166">
        <v>0.3</v>
      </c>
    </row>
    <row r="28" spans="1:4" x14ac:dyDescent="0.2">
      <c r="A28" t="s">
        <v>60</v>
      </c>
      <c r="B28" s="165">
        <f>'4_顧客'!B23</f>
        <v>0.85</v>
      </c>
      <c r="C28" s="166">
        <v>0.9</v>
      </c>
    </row>
    <row r="29" spans="1:4" x14ac:dyDescent="0.2">
      <c r="A29" t="s">
        <v>62</v>
      </c>
      <c r="B29" s="165">
        <f>'5_財務'!B9</f>
        <v>7.8333333333333338E-2</v>
      </c>
      <c r="C29" s="166">
        <v>0.2</v>
      </c>
    </row>
    <row r="30" spans="1:4" x14ac:dyDescent="0.2">
      <c r="A30" t="s">
        <v>61</v>
      </c>
      <c r="B30" s="165">
        <f>'5_財務'!B5</f>
        <v>0.62</v>
      </c>
      <c r="C30" s="166">
        <v>0.68</v>
      </c>
    </row>
    <row r="31" spans="1:4" x14ac:dyDescent="0.2">
      <c r="A31" t="s">
        <v>63</v>
      </c>
      <c r="B31" s="165">
        <f>'6_組織AI'!B29</f>
        <v>0.22857142857142856</v>
      </c>
      <c r="C31" s="166">
        <v>0.6</v>
      </c>
    </row>
    <row r="32" spans="1:4" x14ac:dyDescent="0.2">
      <c r="A32" t="s">
        <v>387</v>
      </c>
      <c r="B32" s="165">
        <f>'6_組織AI'!B4</f>
        <v>0.4</v>
      </c>
      <c r="C32" s="166">
        <v>0.2</v>
      </c>
    </row>
    <row r="34" spans="1:1" x14ac:dyDescent="0.2">
      <c r="A34" t="s">
        <v>388</v>
      </c>
    </row>
  </sheetData>
  <phoneticPr fontId="18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0_README</vt:lpstr>
      <vt:lpstr>1_サマリー</vt:lpstr>
      <vt:lpstr>2_売上</vt:lpstr>
      <vt:lpstr>3_営業KPI</vt:lpstr>
      <vt:lpstr>4_顧客</vt:lpstr>
      <vt:lpstr>5_財務</vt:lpstr>
      <vt:lpstr>6_組織AI</vt:lpstr>
      <vt:lpstr>7_改善計画</vt:lpstr>
      <vt:lpstr>8_3か年計画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泰介(第2技術部 2課)</dc:creator>
  <cp:lastModifiedBy>近藤 泰介(第2技術部 2課)</cp:lastModifiedBy>
  <dcterms:created xsi:type="dcterms:W3CDTF">2026-08-17T02:02:03Z</dcterms:created>
  <dcterms:modified xsi:type="dcterms:W3CDTF">2026-08-20T06:13:15Z</dcterms:modified>
</cp:coreProperties>
</file>